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carolyn.wilkinson\Documents\Project Files\Warwick\"/>
    </mc:Choice>
  </mc:AlternateContent>
  <xr:revisionPtr revIDLastSave="0" documentId="13_ncr:1_{A3ED988B-9B83-49F1-98F0-F883BE19BE69}" xr6:coauthVersionLast="37" xr6:coauthVersionMax="37" xr10:uidLastSave="{00000000-0000-0000-0000-000000000000}"/>
  <bookViews>
    <workbookView xWindow="0" yWindow="0" windowWidth="19200" windowHeight="10785" activeTab="2" xr2:uid="{00000000-000D-0000-FFFF-FFFF00000000}"/>
  </bookViews>
  <sheets>
    <sheet name="Introduction" sheetId="12" r:id="rId1"/>
    <sheet name="Calculator" sheetId="7" r:id="rId2"/>
    <sheet name="PPS Data" sheetId="4" r:id="rId3"/>
    <sheet name="Workings Explained" sheetId="13" r:id="rId4"/>
    <sheet name="Workings" sheetId="5" r:id="rId5"/>
  </sheets>
  <externalReferences>
    <externalReference r:id="rId6"/>
  </externalReferences>
  <definedNames>
    <definedName name="Popn">[1]Start!$A$30:$V$40</definedName>
    <definedName name="_xlnm.Print_Area" localSheetId="1">Calculator!$B$2:$K$65</definedName>
    <definedName name="_xlnm.Print_Area" localSheetId="0">Introduction!$B$2:$D$5</definedName>
    <definedName name="_xlnm.Print_Area" localSheetId="2">'PPS Data'!$B$2:$I$38</definedName>
    <definedName name="_xlnm.Print_Area" localSheetId="4">Workings!$B$2:$AH$378</definedName>
    <definedName name="_xlnm.Print_Area" localSheetId="3">'Workings Explained'!$B$2:$E$37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5" l="1"/>
  <c r="N8" i="5"/>
  <c r="N9" i="5"/>
  <c r="N10" i="5"/>
  <c r="N11" i="5"/>
  <c r="N12" i="5"/>
  <c r="N13" i="5"/>
  <c r="N14" i="5"/>
  <c r="N15" i="5"/>
  <c r="N16" i="5"/>
  <c r="N17" i="5"/>
  <c r="N18" i="5"/>
  <c r="N19" i="5"/>
  <c r="N20" i="5"/>
  <c r="N21" i="5"/>
  <c r="N22" i="5"/>
  <c r="N23" i="5"/>
  <c r="N24" i="5"/>
  <c r="N25" i="5"/>
  <c r="N26" i="5"/>
  <c r="N27" i="5"/>
  <c r="N28" i="5"/>
  <c r="N29" i="5"/>
  <c r="N30" i="5"/>
  <c r="N31" i="5"/>
  <c r="N32" i="5"/>
  <c r="N7" i="5"/>
  <c r="F7" i="5"/>
  <c r="G7" i="5" s="1"/>
  <c r="I7" i="5" s="1"/>
  <c r="G251" i="5"/>
  <c r="G236" i="5"/>
  <c r="G223" i="5"/>
  <c r="G213"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4" i="5"/>
  <c r="G215" i="5"/>
  <c r="G216" i="5"/>
  <c r="G217" i="5"/>
  <c r="G218" i="5"/>
  <c r="G219" i="5"/>
  <c r="G220" i="5"/>
  <c r="G221" i="5"/>
  <c r="G222" i="5"/>
  <c r="G224" i="5"/>
  <c r="G225" i="5"/>
  <c r="G226" i="5"/>
  <c r="G227" i="5"/>
  <c r="G228" i="5"/>
  <c r="G229" i="5"/>
  <c r="G230" i="5"/>
  <c r="G231" i="5"/>
  <c r="G232" i="5"/>
  <c r="G233" i="5"/>
  <c r="G234" i="5"/>
  <c r="G235" i="5"/>
  <c r="G237" i="5"/>
  <c r="G238" i="5"/>
  <c r="G239" i="5"/>
  <c r="G240" i="5"/>
  <c r="G241" i="5"/>
  <c r="G242" i="5"/>
  <c r="G243" i="5"/>
  <c r="G244" i="5"/>
  <c r="G245" i="5"/>
  <c r="G246" i="5"/>
  <c r="G247" i="5"/>
  <c r="G248" i="5"/>
  <c r="G249" i="5"/>
  <c r="G250"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F8" i="5"/>
  <c r="G8" i="5" s="1"/>
  <c r="I8" i="5" s="1"/>
  <c r="F9" i="5"/>
  <c r="G9" i="5"/>
  <c r="F10" i="5"/>
  <c r="G10" i="5"/>
  <c r="I10" i="5" s="1"/>
  <c r="F11" i="5"/>
  <c r="G11" i="5"/>
  <c r="F12" i="5"/>
  <c r="G12" i="5" s="1"/>
  <c r="I12" i="5" s="1"/>
  <c r="F13" i="5"/>
  <c r="G13" i="5"/>
  <c r="I13" i="5" s="1"/>
  <c r="F14" i="5"/>
  <c r="G14" i="5"/>
  <c r="I14" i="5" s="1"/>
  <c r="F15" i="5"/>
  <c r="G15" i="5"/>
  <c r="F16" i="5"/>
  <c r="G16" i="5" s="1"/>
  <c r="F17" i="5"/>
  <c r="G17" i="5"/>
  <c r="F18" i="5"/>
  <c r="G18" i="5"/>
  <c r="F19" i="5"/>
  <c r="G19" i="5"/>
  <c r="I19" i="5" s="1"/>
  <c r="F20" i="5"/>
  <c r="G20" i="5" s="1"/>
  <c r="F21" i="5"/>
  <c r="G21" i="5"/>
  <c r="F22" i="5"/>
  <c r="G22" i="5"/>
  <c r="F23" i="5"/>
  <c r="G23" i="5"/>
  <c r="F24" i="5"/>
  <c r="G24" i="5" s="1"/>
  <c r="F25" i="5"/>
  <c r="G25" i="5"/>
  <c r="F26" i="5"/>
  <c r="G26" i="5"/>
  <c r="F27" i="5"/>
  <c r="G27" i="5"/>
  <c r="F28" i="5"/>
  <c r="G28" i="5" s="1"/>
  <c r="F29" i="5"/>
  <c r="G29" i="5"/>
  <c r="F30" i="5"/>
  <c r="G30" i="5"/>
  <c r="I30" i="5" s="1"/>
  <c r="F31" i="5"/>
  <c r="G31" i="5"/>
  <c r="I31" i="5" s="1"/>
  <c r="F32" i="5"/>
  <c r="G32" i="5" s="1"/>
  <c r="I32" i="5" s="1"/>
  <c r="I9" i="5"/>
  <c r="J9" i="5" s="1"/>
  <c r="L9" i="5" s="1"/>
  <c r="O9" i="5" s="1"/>
  <c r="I11" i="5"/>
  <c r="J11" i="5" s="1"/>
  <c r="L11" i="5" s="1"/>
  <c r="O11" i="5" s="1"/>
  <c r="Q11" i="5" s="1"/>
  <c r="M11" i="5"/>
  <c r="I15" i="5"/>
  <c r="J15" i="5" s="1"/>
  <c r="L15" i="5" s="1"/>
  <c r="O15" i="5" s="1"/>
  <c r="I16" i="5"/>
  <c r="J16" i="5" s="1"/>
  <c r="L16" i="5" s="1"/>
  <c r="O16" i="5" s="1"/>
  <c r="Q16" i="5" s="1"/>
  <c r="I17" i="5"/>
  <c r="J17" i="5" s="1"/>
  <c r="L17" i="5" s="1"/>
  <c r="O17" i="5" s="1"/>
  <c r="Q17" i="5" s="1"/>
  <c r="I18" i="5"/>
  <c r="J18" i="5" s="1"/>
  <c r="L18" i="5" s="1"/>
  <c r="O18" i="5" s="1"/>
  <c r="Q18" i="5" s="1"/>
  <c r="I20" i="5"/>
  <c r="M20" i="5" s="1"/>
  <c r="I21" i="5"/>
  <c r="M21" i="5" s="1"/>
  <c r="J21" i="5"/>
  <c r="L21" i="5" s="1"/>
  <c r="O21" i="5" s="1"/>
  <c r="Q21" i="5" s="1"/>
  <c r="I22" i="5"/>
  <c r="J22" i="5"/>
  <c r="I23" i="5"/>
  <c r="J23" i="5" s="1"/>
  <c r="L23" i="5" s="1"/>
  <c r="O23" i="5" s="1"/>
  <c r="Q23" i="5" s="1"/>
  <c r="I24" i="5"/>
  <c r="J24" i="5" s="1"/>
  <c r="L24" i="5" s="1"/>
  <c r="O24" i="5" s="1"/>
  <c r="I25" i="5"/>
  <c r="J25" i="5"/>
  <c r="L25" i="5" s="1"/>
  <c r="O25" i="5" s="1"/>
  <c r="Q25" i="5" s="1"/>
  <c r="I26" i="5"/>
  <c r="M26" i="5"/>
  <c r="I27" i="5"/>
  <c r="J27" i="5" s="1"/>
  <c r="L27" i="5" s="1"/>
  <c r="O27" i="5" s="1"/>
  <c r="Q27" i="5" s="1"/>
  <c r="I28" i="5"/>
  <c r="J28" i="5" s="1"/>
  <c r="L28" i="5" s="1"/>
  <c r="O28" i="5" s="1"/>
  <c r="Q28" i="5" s="1"/>
  <c r="I29" i="5"/>
  <c r="M29" i="5" s="1"/>
  <c r="L22" i="5"/>
  <c r="O22" i="5" s="1"/>
  <c r="Q22" i="5" s="1"/>
  <c r="M25" i="5"/>
  <c r="M22" i="5"/>
  <c r="J26" i="5"/>
  <c r="L26" i="5" s="1"/>
  <c r="M23" i="5"/>
  <c r="M17" i="5" l="1"/>
  <c r="M16" i="5"/>
  <c r="M15" i="5"/>
  <c r="J13" i="5"/>
  <c r="L13" i="5" s="1"/>
  <c r="O13" i="5" s="1"/>
  <c r="M13" i="5"/>
  <c r="M31" i="5"/>
  <c r="J31" i="5"/>
  <c r="L31" i="5" s="1"/>
  <c r="O31" i="5" s="1"/>
  <c r="Q31" i="5" s="1"/>
  <c r="J8" i="5"/>
  <c r="L8" i="5" s="1"/>
  <c r="O8" i="5" s="1"/>
  <c r="Q8" i="5" s="1"/>
  <c r="M8" i="5"/>
  <c r="J7" i="5"/>
  <c r="L7" i="5" s="1"/>
  <c r="O7" i="5" s="1"/>
  <c r="M7" i="5"/>
  <c r="M12" i="5"/>
  <c r="J12" i="5"/>
  <c r="L12" i="5" s="1"/>
  <c r="O12" i="5" s="1"/>
  <c r="Q12" i="5" s="1"/>
  <c r="J14" i="5"/>
  <c r="L14" i="5" s="1"/>
  <c r="O14" i="5" s="1"/>
  <c r="Q14" i="5" s="1"/>
  <c r="M14" i="5"/>
  <c r="J32" i="5"/>
  <c r="L32" i="5" s="1"/>
  <c r="O32" i="5" s="1"/>
  <c r="Q32" i="5" s="1"/>
  <c r="M32" i="5"/>
  <c r="M30" i="5"/>
  <c r="J30" i="5"/>
  <c r="L30" i="5" s="1"/>
  <c r="O30" i="5" s="1"/>
  <c r="Q30" i="5" s="1"/>
  <c r="J19" i="5"/>
  <c r="L19" i="5" s="1"/>
  <c r="O19" i="5" s="1"/>
  <c r="M19" i="5"/>
  <c r="M10" i="5"/>
  <c r="J10" i="5"/>
  <c r="L10" i="5" s="1"/>
  <c r="O10" i="5" s="1"/>
  <c r="Q10" i="5" s="1"/>
  <c r="O26" i="5"/>
  <c r="Q26" i="5" s="1"/>
  <c r="M9" i="5"/>
  <c r="J29" i="5"/>
  <c r="L29" i="5" s="1"/>
  <c r="O29" i="5" s="1"/>
  <c r="D22" i="7" s="1"/>
  <c r="M24" i="5"/>
  <c r="M18" i="5"/>
  <c r="M28" i="5"/>
  <c r="D19" i="7"/>
  <c r="Q13" i="5"/>
  <c r="Q19" i="5"/>
  <c r="Q24" i="5"/>
  <c r="D21" i="7"/>
  <c r="Q29" i="5"/>
  <c r="Q9" i="5"/>
  <c r="D23" i="7"/>
  <c r="Q15" i="5"/>
  <c r="O33" i="5"/>
  <c r="M27" i="5"/>
  <c r="J20" i="5"/>
  <c r="L20" i="5" s="1"/>
  <c r="O20" i="5" s="1"/>
  <c r="Q20" i="5" s="1"/>
  <c r="D17" i="7" l="1"/>
  <c r="Q7" i="5"/>
  <c r="D18" i="7"/>
  <c r="R29" i="5"/>
  <c r="U29" i="5"/>
  <c r="D50" i="7"/>
  <c r="R15" i="5"/>
  <c r="D51" i="7"/>
  <c r="U15" i="5"/>
  <c r="U24" i="5"/>
  <c r="D49" i="7"/>
  <c r="R24" i="5"/>
  <c r="D20" i="7"/>
  <c r="U19" i="5"/>
  <c r="R19" i="5"/>
  <c r="D48" i="7"/>
  <c r="D46" i="7"/>
  <c r="R9" i="5"/>
  <c r="U9" i="5"/>
  <c r="U13" i="5"/>
  <c r="D47" i="7"/>
  <c r="R13" i="5"/>
  <c r="Q33" i="5"/>
  <c r="D43" i="7" s="1"/>
  <c r="U7" i="5" l="1"/>
  <c r="R7" i="5"/>
  <c r="D45" i="7"/>
  <c r="D61" i="7"/>
  <c r="AB19" i="5"/>
  <c r="G50" i="7"/>
  <c r="X29" i="5"/>
  <c r="W29" i="5"/>
  <c r="Y29" i="5" s="1"/>
  <c r="I50" i="7" s="1"/>
  <c r="D63" i="7"/>
  <c r="AB29" i="5"/>
  <c r="AB13" i="5"/>
  <c r="D60" i="7"/>
  <c r="G47" i="7"/>
  <c r="X13" i="5"/>
  <c r="W13" i="5"/>
  <c r="Y13" i="5" s="1"/>
  <c r="I47" i="7" s="1"/>
  <c r="G46" i="7"/>
  <c r="W9" i="5"/>
  <c r="X9" i="5"/>
  <c r="D64" i="7"/>
  <c r="AB15" i="5"/>
  <c r="X19" i="5"/>
  <c r="G48" i="7"/>
  <c r="W19" i="5"/>
  <c r="D62" i="7"/>
  <c r="AB24" i="5"/>
  <c r="AB9" i="5"/>
  <c r="D59" i="7"/>
  <c r="G49" i="7"/>
  <c r="X24" i="5"/>
  <c r="W24" i="5"/>
  <c r="Y24" i="5" s="1"/>
  <c r="I49" i="7" s="1"/>
  <c r="U33" i="5"/>
  <c r="G43" i="7" s="1"/>
  <c r="X15" i="5"/>
  <c r="W15" i="5"/>
  <c r="G51" i="7"/>
  <c r="Y15" i="5" l="1"/>
  <c r="I51" i="7" s="1"/>
  <c r="D58" i="7"/>
  <c r="AB7" i="5"/>
  <c r="Y19" i="5"/>
  <c r="I48" i="7" s="1"/>
  <c r="W7" i="5"/>
  <c r="G45" i="7"/>
  <c r="X7" i="5"/>
  <c r="X33" i="5" s="1"/>
  <c r="R33" i="5"/>
  <c r="D57" i="7" s="1"/>
  <c r="G61" i="7"/>
  <c r="AE19" i="5"/>
  <c r="AD19" i="5"/>
  <c r="AF19" i="5" s="1"/>
  <c r="I61" i="7" s="1"/>
  <c r="G64" i="7"/>
  <c r="AD15" i="5"/>
  <c r="AE15" i="5"/>
  <c r="AD13" i="5"/>
  <c r="G60" i="7"/>
  <c r="AE13" i="5"/>
  <c r="AD9" i="5"/>
  <c r="AE9" i="5"/>
  <c r="G59" i="7"/>
  <c r="AE29" i="5"/>
  <c r="AD29" i="5"/>
  <c r="G63" i="7"/>
  <c r="W33" i="5"/>
  <c r="AE24" i="5"/>
  <c r="G62" i="7"/>
  <c r="AD24" i="5"/>
  <c r="AF24" i="5" s="1"/>
  <c r="I62" i="7" s="1"/>
  <c r="Y9" i="5"/>
  <c r="I46" i="7" s="1"/>
  <c r="AF15" i="5" l="1"/>
  <c r="I64" i="7" s="1"/>
  <c r="Y7" i="5"/>
  <c r="I45" i="7" s="1"/>
  <c r="AD7" i="5"/>
  <c r="AB33" i="5"/>
  <c r="G57" i="7" s="1"/>
  <c r="G58" i="7"/>
  <c r="AE7" i="5"/>
  <c r="AE33" i="5" s="1"/>
  <c r="AF9" i="5"/>
  <c r="I59" i="7" s="1"/>
  <c r="Y33" i="5"/>
  <c r="I43" i="7" s="1"/>
  <c r="AF29" i="5"/>
  <c r="I63" i="7" s="1"/>
  <c r="AF13" i="5"/>
  <c r="I60" i="7" s="1"/>
  <c r="AD33" i="5"/>
  <c r="AF7" i="5" l="1"/>
  <c r="I58" i="7" s="1"/>
  <c r="AF33" i="5"/>
  <c r="I57" i="7" s="1"/>
</calcChain>
</file>

<file path=xl/sharedStrings.xml><?xml version="1.0" encoding="utf-8"?>
<sst xmlns="http://schemas.openxmlformats.org/spreadsheetml/2006/main" count="990" uniqueCount="573">
  <si>
    <t>Sport and Age Groups</t>
  </si>
  <si>
    <t>Football Adult Men 11v11 (16-45yrs)</t>
  </si>
  <si>
    <t>Football Adult Women 11v11 (16-45yrs)</t>
  </si>
  <si>
    <t>Football Youth Boys11v11 (12-15yrs)</t>
  </si>
  <si>
    <t>Football Youth Girls 11v11 (12-15yrs)</t>
  </si>
  <si>
    <t>Football Youth Boys 9v9 (10-11yrs)</t>
  </si>
  <si>
    <t>Football Youth Girls 9v9 (10-11yrs)</t>
  </si>
  <si>
    <t>Football Mini Soccer Mixed 7v7 (8-9yrs)</t>
  </si>
  <si>
    <t>Football Mini Soccer Mixed 5v5 (6-7yrs)</t>
  </si>
  <si>
    <t>Cricket Open Age Mens (18-55yrs)</t>
  </si>
  <si>
    <t>Cricket Open Age Womens (18-55yrs)</t>
  </si>
  <si>
    <t>Cricket Junior Boys (7-18yrs)</t>
  </si>
  <si>
    <t>Cricket Junior Girls (7-18yrs)</t>
  </si>
  <si>
    <t>Rugby Union Senior Men (19-45yrs)</t>
  </si>
  <si>
    <t>Rugby Union Senior Women (19-45yrs)</t>
  </si>
  <si>
    <t>Rugby Union Youth Boys (13-18yrs)</t>
  </si>
  <si>
    <t>Rugby Union Youth Girls (13-18yrs)</t>
  </si>
  <si>
    <t>Rugby Union Mini/Midi Mixed (7-12yrs)</t>
  </si>
  <si>
    <t>Rugby League Adult Men (19-45yrs)</t>
  </si>
  <si>
    <t>Rugby League Adult Women (19-45yrs)</t>
  </si>
  <si>
    <t>Rugby League Youth &amp; Junior Boys (12-18yrs)</t>
  </si>
  <si>
    <t>Rugby League Junior Girls (12-18yrs)</t>
  </si>
  <si>
    <t>Rugby League Primary Mixed (7-11yrs)</t>
  </si>
  <si>
    <t>Hockey Senior Men (16-55yrs)</t>
  </si>
  <si>
    <t>Hockey Senior Women (16-55yrs)</t>
  </si>
  <si>
    <t>Hockey Junior Boys (11-15yrs)</t>
  </si>
  <si>
    <t>Hockey Junior Girls (11-15yrs)</t>
  </si>
  <si>
    <t>Training session generated (once a week)</t>
  </si>
  <si>
    <t>Pitch Capital Cost 
(Q1 2015)</t>
  </si>
  <si>
    <t>Capital cost for no. of pitches generated by new population</t>
  </si>
  <si>
    <t>Total</t>
  </si>
  <si>
    <t>Life cycle costs for no. of pitches generated by new population</t>
  </si>
  <si>
    <t>Pitch sinking fund cost (annual)</t>
  </si>
  <si>
    <t>Pitch maintenance cost (annual)</t>
  </si>
  <si>
    <t>Sporting Age Groups</t>
  </si>
  <si>
    <t>No. of teams generated by the new population</t>
  </si>
  <si>
    <t>Adur</t>
  </si>
  <si>
    <t>Allerdale</t>
  </si>
  <si>
    <t>Amber Valley</t>
  </si>
  <si>
    <t>Arun</t>
  </si>
  <si>
    <t>Ashfield</t>
  </si>
  <si>
    <t>Ashford</t>
  </si>
  <si>
    <t>Aylesbury Vale</t>
  </si>
  <si>
    <t>Babergh</t>
  </si>
  <si>
    <t>Barking &amp; Dagenham</t>
  </si>
  <si>
    <t>Barnet</t>
  </si>
  <si>
    <t>Barnsley</t>
  </si>
  <si>
    <t>Barrow In Furness</t>
  </si>
  <si>
    <t>Basildon</t>
  </si>
  <si>
    <t>Basingstoke &amp; Deane</t>
  </si>
  <si>
    <t>Bassetlaw</t>
  </si>
  <si>
    <t>Bath &amp; NE Somerset</t>
  </si>
  <si>
    <t>Bedford</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</si>
  <si>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</si>
  <si>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</si>
  <si>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</si>
  <si>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</si>
  <si>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</si>
  <si>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</si>
  <si>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</si>
  <si>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</si>
  <si>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</si>
  <si>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</si>
  <si>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</si>
  <si>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</si>
  <si>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</si>
  <si>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</si>
  <si>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</si>
  <si>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</si>
  <si>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</si>
  <si>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</si>
  <si>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Broads National Park</t>
  </si>
  <si>
    <t>Bromley</t>
  </si>
  <si>
    <t>Bromsgrove</t>
  </si>
  <si>
    <t>Broxbourne</t>
  </si>
  <si>
    <t>Broxtowe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</si>
  <si>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</si>
  <si>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</si>
  <si>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</si>
  <si>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</si>
  <si>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</si>
  <si>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</si>
  <si>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</si>
  <si>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</si>
  <si>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</si>
  <si>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</si>
  <si>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</si>
  <si>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</si>
  <si>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</si>
  <si>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</si>
  <si>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</si>
  <si>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&amp; Chester</t>
  </si>
  <si>
    <t>Chesterfield</t>
  </si>
  <si>
    <t>Chichester</t>
  </si>
  <si>
    <t>Chiltern</t>
  </si>
  <si>
    <t>Chorley</t>
  </si>
  <si>
    <t>Christchurch</t>
  </si>
  <si>
    <t>City of London</t>
  </si>
  <si>
    <t>City of Westminster</t>
  </si>
  <si>
    <t>Colchester</t>
  </si>
  <si>
    <t>Copeland</t>
  </si>
  <si>
    <t>Corby</t>
  </si>
  <si>
    <t>Cornwall</t>
  </si>
  <si>
    <t>Cotswold</t>
  </si>
  <si>
    <t>County Durham</t>
  </si>
  <si>
    <t>Coventry</t>
  </si>
  <si>
    <t>Craven</t>
  </si>
  <si>
    <t>Crawley</t>
  </si>
  <si>
    <t>Croydon</t>
  </si>
  <si>
    <t>Dacorum</t>
  </si>
  <si>
    <t>Darlington</t>
  </si>
  <si>
    <t>Dartford</t>
  </si>
  <si>
    <t>Dartmoor National Park</t>
  </si>
  <si>
    <t>Daventry</t>
  </si>
  <si>
    <t>Derby</t>
  </si>
  <si>
    <t>Derbyshire Dales</t>
  </si>
  <si>
    <t>Doncaster</t>
  </si>
  <si>
    <t>Dover</t>
  </si>
  <si>
    <t>Dudley</t>
  </si>
  <si>
    <t>Ealing</t>
  </si>
  <si>
    <t>East Cambridgeshire</t>
  </si>
  <si>
    <t>East Devon</t>
  </si>
  <si>
    <t>East Dorset</t>
  </si>
  <si>
    <t>East Hampshire</t>
  </si>
  <si>
    <t>East Herts</t>
  </si>
  <si>
    <t>East Lindsey</t>
  </si>
  <si>
    <t>East Northants</t>
  </si>
  <si>
    <t>East Riding</t>
  </si>
  <si>
    <t>East Staffordshire</t>
  </si>
  <si>
    <t>Eastbourne</t>
  </si>
  <si>
    <t>Eastleigh</t>
  </si>
  <si>
    <t>Eden</t>
  </si>
  <si>
    <t>Elmbridge</t>
  </si>
  <si>
    <t>Enfield</t>
  </si>
  <si>
    <t>Epping Forest</t>
  </si>
  <si>
    <t>Epsom &amp; Ewell</t>
  </si>
  <si>
    <t>Erewash</t>
  </si>
  <si>
    <t>Exeter</t>
  </si>
  <si>
    <t>Exmoor National Park</t>
  </si>
  <si>
    <t>Fareham</t>
  </si>
  <si>
    <t>Fenland</t>
  </si>
  <si>
    <t>Forest Heath</t>
  </si>
  <si>
    <t>Forest of Dean</t>
  </si>
  <si>
    <t>Fylde</t>
  </si>
  <si>
    <t>Gateshead</t>
  </si>
  <si>
    <t>Gedling</t>
  </si>
  <si>
    <t>Gloucester City</t>
  </si>
  <si>
    <t>Gosport</t>
  </si>
  <si>
    <t>Gravesham</t>
  </si>
  <si>
    <t>Great Yarmouth</t>
  </si>
  <si>
    <t>Greenwich</t>
  </si>
  <si>
    <t>Guildford</t>
  </si>
  <si>
    <t>Hackney</t>
  </si>
  <si>
    <t>Halton</t>
  </si>
  <si>
    <t>Hambleton</t>
  </si>
  <si>
    <t>Hammersmith &amp; Fulham</t>
  </si>
  <si>
    <t>Harborough</t>
  </si>
  <si>
    <t>Haringey</t>
  </si>
  <si>
    <t>Harlow</t>
  </si>
  <si>
    <t>Harrogate</t>
  </si>
  <si>
    <t>Harrow</t>
  </si>
  <si>
    <t>Hart</t>
  </si>
  <si>
    <t>Hartlepool</t>
  </si>
  <si>
    <t>Hastings</t>
  </si>
  <si>
    <t>Havant</t>
  </si>
  <si>
    <t>Havering</t>
  </si>
  <si>
    <t>Herefordshire</t>
  </si>
  <si>
    <t>Hertsmere</t>
  </si>
  <si>
    <t>High Peak</t>
  </si>
  <si>
    <t>Hillingdon</t>
  </si>
  <si>
    <t>Hinkley &amp; Bosworth</t>
  </si>
  <si>
    <t>Horsham</t>
  </si>
  <si>
    <t>Hounslow</t>
  </si>
  <si>
    <t>Hull</t>
  </si>
  <si>
    <t>Huntingdonshire</t>
  </si>
  <si>
    <t>Hyndburn</t>
  </si>
  <si>
    <t>Ipswich</t>
  </si>
  <si>
    <t>Isle Of Wight</t>
  </si>
  <si>
    <t>Isles of Scilly</t>
  </si>
  <si>
    <t>Islington</t>
  </si>
  <si>
    <t>Kensington &amp; Chelsea</t>
  </si>
  <si>
    <t>Kettering</t>
  </si>
  <si>
    <t>Kings Lynn &amp; West Norfolk</t>
  </si>
  <si>
    <t>Kingston Upon Thames</t>
  </si>
  <si>
    <t>Kirklees</t>
  </si>
  <si>
    <t>Knowsley</t>
  </si>
  <si>
    <t>Lake District National Park</t>
  </si>
  <si>
    <t>Lambeth</t>
  </si>
  <si>
    <t>Lancaster</t>
  </si>
  <si>
    <t>Leeds</t>
  </si>
  <si>
    <t>Leicester</t>
  </si>
  <si>
    <t>Lewes</t>
  </si>
  <si>
    <t>Lewisham</t>
  </si>
  <si>
    <t>Lichfield</t>
  </si>
  <si>
    <t>Lincoln City</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</si>
  <si>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</si>
  <si>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</si>
  <si>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</si>
  <si>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</si>
  <si>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</si>
  <si>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</si>
  <si>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</si>
  <si>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</si>
  <si>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</si>
  <si>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</si>
  <si>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</si>
  <si>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</si>
  <si>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</si>
  <si>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</si>
  <si>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</si>
  <si>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</si>
  <si>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</si>
  <si>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</si>
  <si>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 Forest National Park</t>
  </si>
  <si>
    <t>Newark &amp; Sherwood</t>
  </si>
  <si>
    <t>Newcastle</t>
  </si>
  <si>
    <t>Newcastle Under Lyme</t>
  </si>
  <si>
    <t>Newham</t>
  </si>
  <si>
    <t>North Devon</t>
  </si>
  <si>
    <t>North Dorset</t>
  </si>
  <si>
    <t>North East Derbyshire</t>
  </si>
  <si>
    <t>North East Lincolnshire</t>
  </si>
  <si>
    <t>North Herts</t>
  </si>
  <si>
    <t>North Kesteven</t>
  </si>
  <si>
    <t>North Lincolnshire</t>
  </si>
  <si>
    <t>North Norfolk</t>
  </si>
  <si>
    <t>North Somerset</t>
  </si>
  <si>
    <t>North Tyneside</t>
  </si>
  <si>
    <t>North Warwickshire</t>
  </si>
  <si>
    <t xml:space="preserve">North West Leicestershire </t>
  </si>
  <si>
    <t>North Yorkshire Moors National Park</t>
  </si>
  <si>
    <t>Northampton</t>
  </si>
  <si>
    <t>Northumberland County</t>
  </si>
  <si>
    <t>Northumberland National Park</t>
  </si>
  <si>
    <t>Norwich</t>
  </si>
  <si>
    <t>Nottingham</t>
  </si>
  <si>
    <t>Nuneaton &amp; Bedworth</t>
  </si>
  <si>
    <t xml:space="preserve">Oadby &amp; Wigston </t>
  </si>
  <si>
    <t>Oldham</t>
  </si>
  <si>
    <t>Oxford City</t>
  </si>
  <si>
    <t>Peak District National Park</t>
  </si>
  <si>
    <t>Pendle</t>
  </si>
  <si>
    <t>Peterborough</t>
  </si>
  <si>
    <t>Plymouth</t>
  </si>
  <si>
    <t>Poole</t>
  </si>
  <si>
    <t>Portsmouth</t>
  </si>
  <si>
    <t>Preston</t>
  </si>
  <si>
    <t>Purbeck</t>
  </si>
  <si>
    <t>Reading</t>
  </si>
  <si>
    <t>Redbridge</t>
  </si>
  <si>
    <t>Redcar &amp; Cleveland</t>
  </si>
  <si>
    <t>Redditch</t>
  </si>
  <si>
    <t>Reigate &amp;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</si>
  <si>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</si>
  <si>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</si>
  <si>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</si>
  <si>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</si>
  <si>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</si>
  <si>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</si>
  <si>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</si>
  <si>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</si>
  <si>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</si>
  <si>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</si>
  <si>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</si>
  <si>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</si>
  <si>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</si>
  <si>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</si>
  <si>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</si>
  <si>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</si>
  <si>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</si>
  <si>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</si>
  <si>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</si>
  <si>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</si>
  <si>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</si>
  <si>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</si>
  <si>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</si>
  <si>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</si>
  <si>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Slough</t>
  </si>
  <si>
    <t>Solihull</t>
  </si>
  <si>
    <t>South Bucks</t>
  </si>
  <si>
    <t>South Cambridgeshire</t>
  </si>
  <si>
    <t>South Derbyshire</t>
  </si>
  <si>
    <t>South Downs National Park</t>
  </si>
  <si>
    <t>South Gloucestershire</t>
  </si>
  <si>
    <t>South Hams</t>
  </si>
  <si>
    <t>South Holland</t>
  </si>
  <si>
    <t>South Kesteven</t>
  </si>
  <si>
    <t>South Lakeland</t>
  </si>
  <si>
    <t>South Norfolk</t>
  </si>
  <si>
    <t>South Northants</t>
  </si>
  <si>
    <t>South Oxfordshire</t>
  </si>
  <si>
    <t>South Ribble</t>
  </si>
  <si>
    <t>South Somerset</t>
  </si>
  <si>
    <t>South Staffordshire</t>
  </si>
  <si>
    <t>South Tyneside</t>
  </si>
  <si>
    <t>Southampton</t>
  </si>
  <si>
    <t>Southend On Sea</t>
  </si>
  <si>
    <t>Southwark</t>
  </si>
  <si>
    <t>Spelthorne</t>
  </si>
  <si>
    <t>St Albans</t>
  </si>
  <si>
    <t>St Edmundsbury</t>
  </si>
  <si>
    <t>St Helens</t>
  </si>
  <si>
    <t>Stafford</t>
  </si>
  <si>
    <t>Staffordshire Moorlands</t>
  </si>
  <si>
    <t>Stevenage</t>
  </si>
  <si>
    <t>Stockport</t>
  </si>
  <si>
    <t>Stockton On Tees</t>
  </si>
  <si>
    <t>Stoke On Trent</t>
  </si>
  <si>
    <t>Stratford On Avon</t>
  </si>
  <si>
    <t>Stroud</t>
  </si>
  <si>
    <t>Suffolk Coastal</t>
  </si>
  <si>
    <t>Sunderland</t>
  </si>
  <si>
    <t>Surrey Heath</t>
  </si>
  <si>
    <t>Sutton</t>
  </si>
  <si>
    <t>Swale</t>
  </si>
  <si>
    <t>Swindon</t>
  </si>
  <si>
    <t>Tameside</t>
  </si>
  <si>
    <t>Tamworth</t>
  </si>
  <si>
    <t>Tandridge</t>
  </si>
  <si>
    <t>Taunton Deane</t>
  </si>
  <si>
    <t>Teignbridge</t>
  </si>
  <si>
    <t>Telford &amp; Wrekin</t>
  </si>
  <si>
    <t>Tendring</t>
  </si>
  <si>
    <t>Test Valley</t>
  </si>
  <si>
    <t>Tewkesbury</t>
  </si>
  <si>
    <t>Thanet</t>
  </si>
  <si>
    <t>Three Rivers</t>
  </si>
  <si>
    <t>Thurrock</t>
  </si>
  <si>
    <t>Tonbridge &amp;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</si>
  <si>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</si>
  <si>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</si>
  <si>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</si>
  <si>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</si>
  <si>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</si>
  <si>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</si>
  <si>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</si>
  <si>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</si>
  <si>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</si>
  <si>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</si>
  <si>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</si>
  <si>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</si>
  <si>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</si>
  <si>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</si>
  <si>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</si>
  <si>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</si>
  <si>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</si>
  <si>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</si>
  <si>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</si>
  <si>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</si>
  <si>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</si>
  <si>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</si>
  <si>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</si>
  <si>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</si>
  <si>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</si>
  <si>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</si>
  <si>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Weymouth &amp; Portland</t>
  </si>
  <si>
    <t>Wigan</t>
  </si>
  <si>
    <t>Wiltshire</t>
  </si>
  <si>
    <t>Winchester</t>
  </si>
  <si>
    <t>Windsor &amp; Maidenhead</t>
  </si>
  <si>
    <t>Wirral</t>
  </si>
  <si>
    <t>Woking</t>
  </si>
  <si>
    <t>Wokingham</t>
  </si>
  <si>
    <t>Wolverhampton</t>
  </si>
  <si>
    <t>Worcester</t>
  </si>
  <si>
    <t>Worthing</t>
  </si>
  <si>
    <t>Wychavon</t>
  </si>
  <si>
    <t>Wycombe</t>
  </si>
  <si>
    <t>Wyre</t>
  </si>
  <si>
    <t>Wyre Forest</t>
  </si>
  <si>
    <t>York</t>
  </si>
  <si>
    <t>Yorkshire Dales National Park</t>
  </si>
  <si>
    <t>Local Authority</t>
  </si>
  <si>
    <t>County</t>
  </si>
  <si>
    <t xml:space="preserve">pitches at a capital cost of </t>
  </si>
  <si>
    <t>and a total life cycle cost (per annum) of</t>
  </si>
  <si>
    <t>Required Information</t>
  </si>
  <si>
    <t>Optional Information</t>
  </si>
  <si>
    <t>N/a</t>
  </si>
  <si>
    <t>COMBINED - ROUND UP</t>
  </si>
  <si>
    <t>Avon</t>
  </si>
  <si>
    <t>Bedfordshire</t>
  </si>
  <si>
    <t>Berkshire</t>
  </si>
  <si>
    <t>Buckinghamshire</t>
  </si>
  <si>
    <t>Cambridgeshire</t>
  </si>
  <si>
    <t>Cheshire</t>
  </si>
  <si>
    <t>Cleveland</t>
  </si>
  <si>
    <t>Cumbria</t>
  </si>
  <si>
    <t>Derbyshire</t>
  </si>
  <si>
    <t>Devon</t>
  </si>
  <si>
    <t>Dorset</t>
  </si>
  <si>
    <t>Durham</t>
  </si>
  <si>
    <t>East Sussex</t>
  </si>
  <si>
    <t>England</t>
  </si>
  <si>
    <t>Essex</t>
  </si>
  <si>
    <t>Gloucestershire</t>
  </si>
  <si>
    <t>Grt Manchester</t>
  </si>
  <si>
    <t>Hampshire</t>
  </si>
  <si>
    <t>Hereford &amp; Worcester</t>
  </si>
  <si>
    <t>Hertfordshire</t>
  </si>
  <si>
    <t>Humberside</t>
  </si>
  <si>
    <t>Kent</t>
  </si>
  <si>
    <t>Lancashire</t>
  </si>
  <si>
    <t>LB Barking</t>
  </si>
  <si>
    <t>LB Barnet</t>
  </si>
  <si>
    <t>LB Bexley</t>
  </si>
  <si>
    <t>LB Brent</t>
  </si>
  <si>
    <t>LB Bromley</t>
  </si>
  <si>
    <t>LB Camden</t>
  </si>
  <si>
    <t>LB Croydon</t>
  </si>
  <si>
    <t>LB Ealing</t>
  </si>
  <si>
    <t>LB Enfield</t>
  </si>
  <si>
    <t>LB Greenwich</t>
  </si>
  <si>
    <t>LB Hackney</t>
  </si>
  <si>
    <t>LB Hammersmith &amp; Fulham</t>
  </si>
  <si>
    <t>LB Haringey</t>
  </si>
  <si>
    <t>LB Harrow</t>
  </si>
  <si>
    <t>LB Havering</t>
  </si>
  <si>
    <t>LB Hillingdon</t>
  </si>
  <si>
    <t>LB Houslow</t>
  </si>
  <si>
    <t>LB Islington</t>
  </si>
  <si>
    <t>LB Kensington &amp; Chelsea</t>
  </si>
  <si>
    <t>LB Kingston</t>
  </si>
  <si>
    <t>LB Lambeth</t>
  </si>
  <si>
    <t>LB Lewisham</t>
  </si>
  <si>
    <t>LB Merton</t>
  </si>
  <si>
    <t>LB Newham</t>
  </si>
  <si>
    <t xml:space="preserve">LB Redbridge </t>
  </si>
  <si>
    <t>LB Richmond</t>
  </si>
  <si>
    <t>LB Southwark</t>
  </si>
  <si>
    <t>LB Sutton</t>
  </si>
  <si>
    <t>LB Tower Hamlets</t>
  </si>
  <si>
    <t>LB Waltham Forest</t>
  </si>
  <si>
    <t>LB Wandsworth</t>
  </si>
  <si>
    <t>Leicestershire</t>
  </si>
  <si>
    <t>Lincolnshire</t>
  </si>
  <si>
    <t>Merseyside</t>
  </si>
  <si>
    <t>No costs</t>
  </si>
  <si>
    <t>Norfolk</t>
  </si>
  <si>
    <t>North Yorkshire</t>
  </si>
  <si>
    <t>Northamptonshire</t>
  </si>
  <si>
    <t>Northumberland</t>
  </si>
  <si>
    <t>Nottinghamshire</t>
  </si>
  <si>
    <t>Oxfordshire</t>
  </si>
  <si>
    <t>Scotland</t>
  </si>
  <si>
    <t>Somerset</t>
  </si>
  <si>
    <t>South Yorkshire</t>
  </si>
  <si>
    <t>Staffordshire</t>
  </si>
  <si>
    <t xml:space="preserve">Suffolk </t>
  </si>
  <si>
    <t>Surrey</t>
  </si>
  <si>
    <t>Tyne &amp; Wear</t>
  </si>
  <si>
    <t>Wales</t>
  </si>
  <si>
    <t>Warwickshire</t>
  </si>
  <si>
    <t>West Midlands</t>
  </si>
  <si>
    <t>West Sussex</t>
  </si>
  <si>
    <t>West Yorkshire</t>
  </si>
  <si>
    <t>Regional cost variations</t>
  </si>
  <si>
    <r>
      <t xml:space="preserve">1. </t>
    </r>
    <r>
      <rPr>
        <sz val="11"/>
        <color theme="1"/>
        <rFont val="Calibri Light"/>
        <family val="2"/>
        <scheme val="major"/>
      </rPr>
      <t>Current</t>
    </r>
    <r>
      <rPr>
        <b/>
        <sz val="11"/>
        <color theme="1"/>
        <rFont val="Calibri Light"/>
        <family val="2"/>
        <scheme val="major"/>
      </rPr>
      <t xml:space="preserve"> population in each pitch sport age group in</t>
    </r>
    <r>
      <rPr>
        <sz val="11"/>
        <color theme="1"/>
        <rFont val="Calibri Light"/>
        <family val="2"/>
        <scheme val="major"/>
      </rPr>
      <t/>
    </r>
  </si>
  <si>
    <r>
      <t xml:space="preserve">2. </t>
    </r>
    <r>
      <rPr>
        <sz val="11"/>
        <color theme="1"/>
        <rFont val="Calibri Light"/>
        <family val="2"/>
        <scheme val="major"/>
      </rPr>
      <t xml:space="preserve">Current </t>
    </r>
    <r>
      <rPr>
        <b/>
        <sz val="11"/>
        <color theme="1"/>
        <rFont val="Calibri Light"/>
        <family val="2"/>
        <scheme val="major"/>
      </rPr>
      <t>team 
generation rates</t>
    </r>
    <r>
      <rPr>
        <sz val="11"/>
        <color theme="1"/>
        <rFont val="Calibri Light"/>
        <family val="2"/>
        <scheme val="major"/>
      </rPr>
      <t xml:space="preserve"> for</t>
    </r>
  </si>
  <si>
    <t>No. of people within the new population</t>
  </si>
  <si>
    <t>How many people from the new population fall within the individual pitch sport age groups?</t>
  </si>
  <si>
    <t>b. Projected change in demand</t>
  </si>
  <si>
    <t>No. of teams generated by new population with change in demand factored in</t>
  </si>
  <si>
    <t>Match equivalent sessions during weekly peak period (during the year for Cricket)</t>
  </si>
  <si>
    <t>% of match play during the peak period</t>
  </si>
  <si>
    <t>Combined rounded up costs</t>
  </si>
  <si>
    <t>What do the match equivalent sessions equate to in terms of new pitch provision?</t>
  </si>
  <si>
    <t>How much may it cost to provide the new pitch provision?</t>
  </si>
  <si>
    <t>What might the lifecycle costs of the new provision be?</t>
  </si>
  <si>
    <t>County Level Cost Variations</t>
  </si>
  <si>
    <t>Variation</t>
  </si>
  <si>
    <t>How many teams may be generated by the new population?</t>
  </si>
  <si>
    <t>&lt; select LA from the list &gt;</t>
  </si>
  <si>
    <t>1.  Select the local authority from the list.</t>
  </si>
  <si>
    <t>2.  Enter the total population of the local authority.</t>
  </si>
  <si>
    <t>3.  Enter the new population to estimate the demand for.</t>
  </si>
  <si>
    <t>Rugby Union   =</t>
  </si>
  <si>
    <t>Hockey   =</t>
  </si>
  <si>
    <t>Cricket   =</t>
  </si>
  <si>
    <r>
      <t>PART ONE:  Local Authority and population details</t>
    </r>
    <r>
      <rPr>
        <b/>
        <u/>
        <sz val="12"/>
        <color theme="1"/>
        <rFont val="Calibri Light"/>
        <family val="2"/>
        <scheme val="major"/>
      </rPr>
      <t/>
    </r>
  </si>
  <si>
    <t>1.  Look at the location of the new population alongside the results of the playing pitch strategy assessment work.</t>
  </si>
  <si>
    <t>2.  Understand the nature of playing pitch sites within an appropriate catchment of the new population and issues in the area.</t>
  </si>
  <si>
    <t>3.  This may lead to suggestions of one or more ways of meeting the estimated demand, such as:</t>
  </si>
  <si>
    <t xml:space="preserve">          c.  Providing new playing pitches on new sites (natural or artificial grass pitches). </t>
  </si>
  <si>
    <t>Total   =</t>
  </si>
  <si>
    <t>pitches at a capital cost of</t>
  </si>
  <si>
    <t>Adult Football   =</t>
  </si>
  <si>
    <t>Youth Football   =</t>
  </si>
  <si>
    <t>Mini Soccer   =</t>
  </si>
  <si>
    <t>Rugby League   =</t>
  </si>
  <si>
    <t>A total   =</t>
  </si>
  <si>
    <t>To estimate the demand and provide indicative costs the calculator works through a series of questions in sequence.  The questions and the process the calculator follows is presented below.  
The assumptions built into the process are in line with Sport England's Playing Pitch Strategy Guidance.</t>
  </si>
  <si>
    <t xml:space="preserve">Capital costs source: SE Facilities Costs Second Quarter 2017 </t>
  </si>
  <si>
    <t>Pitch Capital Cost 
(Q2 2017)</t>
  </si>
  <si>
    <r>
      <rPr>
        <b/>
        <sz val="10"/>
        <color theme="1"/>
        <rFont val="Calibri Light"/>
        <family val="2"/>
        <scheme val="major"/>
      </rPr>
      <t>Note:</t>
    </r>
    <r>
      <rPr>
        <sz val="10"/>
        <color theme="1"/>
        <rFont val="Calibri Light"/>
        <family val="2"/>
        <scheme val="major"/>
      </rPr>
      <t xml:space="preserve"> Cricket Pitch Cost = 8 pitch square and 2 winter sport pitches, 
Hockey Pitch Cost = 18mm Sand Dressed, Fenced, Sports Lighting.</t>
    </r>
  </si>
  <si>
    <t>AT 31/05/17</t>
  </si>
  <si>
    <t>¹Capital costs source: SE Facilities Costs Second Quarter 2017</t>
  </si>
  <si>
    <t>PART TWO:  Estimated demand in match equivalent sessions during the weekly peak period (across a season for Cricket)</t>
  </si>
  <si>
    <t xml:space="preserve">This calculator uses information from the  </t>
  </si>
  <si>
    <t>PART FOUR:  Estimated demand in new playing pitches to meet the estimated demand during the weekly peak period (across a season for Cricket)</t>
  </si>
  <si>
    <t xml:space="preserve"> playing pitch strategy assessment work to help estimate the demand for pitches that may be generated from new development.  </t>
  </si>
  <si>
    <r>
      <rPr>
        <b/>
        <u/>
        <sz val="11"/>
        <color theme="1"/>
        <rFont val="Calibri Light"/>
        <family val="2"/>
        <scheme val="major"/>
      </rPr>
      <t>Note</t>
    </r>
    <r>
      <rPr>
        <b/>
        <sz val="11"/>
        <color theme="1"/>
        <rFont val="Calibri Light"/>
        <family val="2"/>
        <scheme val="major"/>
      </rPr>
      <t xml:space="preserve">: For the calculator to work it requires data from the local authority's playing pitch strategy assessment work to be entered - </t>
    </r>
    <r>
      <rPr>
        <b/>
        <u/>
        <sz val="11"/>
        <color theme="1"/>
        <rFont val="Calibri Light"/>
        <family val="2"/>
        <scheme val="major"/>
      </rPr>
      <t>see 'PPS Data' sheet</t>
    </r>
    <r>
      <rPr>
        <b/>
        <sz val="11"/>
        <color theme="1"/>
        <rFont val="Calibri Light"/>
        <family val="2"/>
        <scheme val="major"/>
      </rPr>
      <t>.</t>
    </r>
  </si>
  <si>
    <t xml:space="preserve">          a.  Enhancing existing pitches to increase their capacity and ensure adequate long term maintenance to maintain the higher use;</t>
  </si>
  <si>
    <t>It may be decided that the estimated demand should be met by the creation of new natural and/or artificial grass pitches. If this is the case then an indication of the number of new pitches that may be required is provided below.  This is based on providing natural grass pitches for football, rugby and cricket and new artificial grass pitches for hockey.</t>
  </si>
  <si>
    <t xml:space="preserve">The calculator requires information from the playing pitch strategy assessment work to be entered into the 'PPS Data' sheet. If the assessment work is updated, e.g. as part of a regular review of the supply and demand information on which it is based, then the data entered into the calculator should be updated accordingly. </t>
  </si>
  <si>
    <t>% of total population in the area</t>
  </si>
  <si>
    <t>How many match equivalent sessions during the relevant peak period may be demanded by the new population?</t>
  </si>
  <si>
    <t>Estimated demand for home matches per week 
- per year for Cricket</t>
  </si>
  <si>
    <t xml:space="preserve">d.  Match equivalent sessions during the weekly peak period (or season for Cricket) for relevant age groups i.e. all adult football, all youth football are added together and presented as results within Part 2 of the Calculator Sheet.  </t>
  </si>
  <si>
    <t>Estimated demand in number of pitches required to meet additional demand during weekly peak period (during the year for Cricket)</t>
  </si>
  <si>
    <r>
      <t xml:space="preserve">b.  For Cricket: Match equivalent sessions per season (Column O, Workings Sheet) </t>
    </r>
    <r>
      <rPr>
        <b/>
        <sz val="11"/>
        <color theme="1"/>
        <rFont val="Calibri Light"/>
        <family val="2"/>
        <scheme val="major"/>
      </rPr>
      <t>/</t>
    </r>
    <r>
      <rPr>
        <sz val="11"/>
        <color theme="1"/>
        <rFont val="Calibri Light"/>
        <family val="2"/>
        <scheme val="major"/>
      </rPr>
      <t xml:space="preserve"> 40 for the adult age groups ( </t>
    </r>
    <r>
      <rPr>
        <b/>
        <sz val="11"/>
        <color theme="1"/>
        <rFont val="Calibri Light"/>
        <family val="2"/>
        <scheme val="major"/>
      </rPr>
      <t>/</t>
    </r>
    <r>
      <rPr>
        <sz val="11"/>
        <color theme="1"/>
        <rFont val="Calibri Light"/>
        <family val="2"/>
        <scheme val="major"/>
      </rPr>
      <t xml:space="preserve"> 56 for the junior age groups) </t>
    </r>
    <r>
      <rPr>
        <b/>
        <sz val="11"/>
        <color theme="1"/>
        <rFont val="Calibri Light"/>
        <family val="2"/>
        <scheme val="major"/>
      </rPr>
      <t>=</t>
    </r>
    <r>
      <rPr>
        <sz val="11"/>
        <color theme="1"/>
        <rFont val="Calibri Light"/>
        <family val="2"/>
        <scheme val="major"/>
      </rPr>
      <t xml:space="preserve"> Estimated demand in new pitches (Column Q, Workings Sheet)  - based on a single cricket pitch having 8 grass wickets with each wicket being able to take 5 matches a year for adult play and 7 matches for junior play). </t>
    </r>
  </si>
  <si>
    <t xml:space="preserve">c.  Estimated demand in new pitches for relevant age groups (i.e. all adult football, all youth football) are added together and presented as results within Part 4 of the Calculator Sheet (as they are for Part 2 of the Calculator Sheet). </t>
  </si>
  <si>
    <r>
      <t xml:space="preserve">a.  Estimated demand in new pitches for the relevant age groups (Column Q, Workings Sheet) - added together as under question 4 above </t>
    </r>
    <r>
      <rPr>
        <b/>
        <sz val="11"/>
        <color theme="1"/>
        <rFont val="Calibri Light"/>
        <family val="2"/>
        <scheme val="major"/>
      </rPr>
      <t>X</t>
    </r>
    <r>
      <rPr>
        <sz val="11"/>
        <color theme="1"/>
        <rFont val="Calibri Light"/>
        <family val="2"/>
        <scheme val="major"/>
      </rPr>
      <t xml:space="preserve"> Sport England's latest pitch capital costs (Column T, Workings Sheet) for the respective pitch type </t>
    </r>
    <r>
      <rPr>
        <b/>
        <sz val="11"/>
        <color theme="1"/>
        <rFont val="Calibri Light"/>
        <family val="2"/>
        <scheme val="major"/>
      </rPr>
      <t>X</t>
    </r>
    <r>
      <rPr>
        <sz val="11"/>
        <color theme="1"/>
        <rFont val="Calibri Light"/>
        <family val="2"/>
        <scheme val="major"/>
      </rPr>
      <t xml:space="preserve"> Sport England's regional cost variation (Columns D-L Rows 38-376 Workings Sheet) </t>
    </r>
    <r>
      <rPr>
        <b/>
        <sz val="11"/>
        <color theme="1"/>
        <rFont val="Calibri Light"/>
        <family val="2"/>
        <scheme val="major"/>
      </rPr>
      <t>=</t>
    </r>
    <r>
      <rPr>
        <sz val="11"/>
        <color theme="1"/>
        <rFont val="Calibri Light"/>
        <family val="2"/>
        <scheme val="major"/>
      </rPr>
      <t xml:space="preserve"> Estimated capital cost per pitch type for the number of new pitches (Column U, Workings Sheet).  </t>
    </r>
  </si>
  <si>
    <t xml:space="preserve">b.  The capital cost figures for the relevant age groups are presented within Part 4 (Column G) of the calculator sheet.  </t>
  </si>
  <si>
    <t>Estimated capital cost for no. of pitches generated by the new population</t>
  </si>
  <si>
    <r>
      <t xml:space="preserve">a.  Capital cost per pitch type for the number of new pitches (Column U, Workings Sheet) </t>
    </r>
    <r>
      <rPr>
        <b/>
        <sz val="11"/>
        <color theme="1"/>
        <rFont val="Calibri Light"/>
        <family val="2"/>
        <scheme val="major"/>
      </rPr>
      <t>X</t>
    </r>
    <r>
      <rPr>
        <sz val="11"/>
        <color theme="1"/>
        <rFont val="Calibri Light"/>
        <family val="2"/>
        <scheme val="major"/>
      </rPr>
      <t xml:space="preserve"> Sport England's annual percentage sinking fund cost for the relevant pitch type¹ </t>
    </r>
    <r>
      <rPr>
        <b/>
        <sz val="11"/>
        <color theme="1"/>
        <rFont val="Calibri Light"/>
        <family val="2"/>
        <scheme val="major"/>
      </rPr>
      <t>=</t>
    </r>
    <r>
      <rPr>
        <sz val="11"/>
        <color theme="1"/>
        <rFont val="Calibri Light"/>
        <family val="2"/>
        <scheme val="major"/>
      </rPr>
      <t xml:space="preserve"> Annual sinking fund cost for the number of new pitches per pitch type (Column W, Workings Sheet).</t>
    </r>
  </si>
  <si>
    <r>
      <t xml:space="preserve">b.  Capital cost per pitch type for the number of new pitches (Column U, Workings Sheet) </t>
    </r>
    <r>
      <rPr>
        <b/>
        <sz val="11"/>
        <color theme="1"/>
        <rFont val="Calibri Light"/>
        <family val="2"/>
        <scheme val="major"/>
      </rPr>
      <t>X</t>
    </r>
    <r>
      <rPr>
        <sz val="11"/>
        <color theme="1"/>
        <rFont val="Calibri Light"/>
        <family val="2"/>
        <scheme val="major"/>
      </rPr>
      <t xml:space="preserve"> Sport England's annual percentage maintenance cost for the relevant pitch type² </t>
    </r>
    <r>
      <rPr>
        <b/>
        <sz val="11"/>
        <color theme="1"/>
        <rFont val="Calibri Light"/>
        <family val="2"/>
        <scheme val="major"/>
      </rPr>
      <t>=</t>
    </r>
    <r>
      <rPr>
        <sz val="11"/>
        <color theme="1"/>
        <rFont val="Calibri Light"/>
        <family val="2"/>
        <scheme val="major"/>
      </rPr>
      <t xml:space="preserve"> Annual maintenance cost for the number of new pitches per pitch type (Column X, Workings Sheet).</t>
    </r>
  </si>
  <si>
    <r>
      <t xml:space="preserve">c.  Annual sinking fund cost (Column W, Workings Sheet) </t>
    </r>
    <r>
      <rPr>
        <b/>
        <sz val="11"/>
        <color theme="1"/>
        <rFont val="Calibri Light"/>
        <family val="2"/>
        <scheme val="major"/>
      </rPr>
      <t>X</t>
    </r>
    <r>
      <rPr>
        <sz val="11"/>
        <color theme="1"/>
        <rFont val="Calibri Light"/>
        <family val="2"/>
        <scheme val="major"/>
      </rPr>
      <t xml:space="preserve"> annual monitoring cost (Column X, Workings Sheet) </t>
    </r>
    <r>
      <rPr>
        <b/>
        <sz val="11"/>
        <color theme="1"/>
        <rFont val="Calibri Light"/>
        <family val="2"/>
        <scheme val="major"/>
      </rPr>
      <t>=</t>
    </r>
    <r>
      <rPr>
        <sz val="11"/>
        <color theme="1"/>
        <rFont val="Calibri Light"/>
        <family val="2"/>
        <scheme val="major"/>
      </rPr>
      <t xml:space="preserve"> Total annual lifecycle cost for the estimated number of new pitches per pitch type (Column Y, Workings Sheet).</t>
    </r>
  </si>
  <si>
    <r>
      <t xml:space="preserve">b.  Current population in each age group as a percentage of the total population (Column F, Workings Sheet) </t>
    </r>
    <r>
      <rPr>
        <b/>
        <sz val="11"/>
        <color theme="1"/>
        <rFont val="Calibri Light"/>
        <family val="2"/>
        <scheme val="major"/>
      </rPr>
      <t>X</t>
    </r>
    <r>
      <rPr>
        <sz val="11"/>
        <color theme="1"/>
        <rFont val="Calibri Light"/>
        <family val="2"/>
        <scheme val="major"/>
      </rPr>
      <t xml:space="preserve"> the new population to estimate the demand for (Cell D13, Calculator Sheet) </t>
    </r>
    <r>
      <rPr>
        <b/>
        <sz val="11"/>
        <color theme="1"/>
        <rFont val="Calibri Light"/>
        <family val="2"/>
        <scheme val="major"/>
      </rPr>
      <t>=</t>
    </r>
    <r>
      <rPr>
        <sz val="11"/>
        <color theme="1"/>
        <rFont val="Calibri Light"/>
        <family val="2"/>
        <scheme val="major"/>
      </rPr>
      <t xml:space="preserve"> Number of people in the new development that fall within each age group (Column G, Workings Sheet).            </t>
    </r>
  </si>
  <si>
    <r>
      <t xml:space="preserve">a.  Number of people in the new development that fall within an age group (Column G, Workings Sheet) </t>
    </r>
    <r>
      <rPr>
        <b/>
        <sz val="11"/>
        <color theme="1"/>
        <rFont val="Calibri Light"/>
        <family val="2"/>
        <scheme val="major"/>
      </rPr>
      <t>/</t>
    </r>
    <r>
      <rPr>
        <sz val="11"/>
        <color theme="1"/>
        <rFont val="Calibri Light"/>
        <family val="2"/>
        <scheme val="major"/>
      </rPr>
      <t xml:space="preserve"> the relevant current team generation rate for the area (Column E, PPS Data Sheet) </t>
    </r>
    <r>
      <rPr>
        <b/>
        <sz val="11"/>
        <color theme="1"/>
        <rFont val="Calibri Light"/>
        <family val="2"/>
        <scheme val="major"/>
      </rPr>
      <t>X</t>
    </r>
    <r>
      <rPr>
        <sz val="11"/>
        <color theme="1"/>
        <rFont val="Calibri Light"/>
        <family val="2"/>
        <scheme val="major"/>
      </rPr>
      <t xml:space="preserve"> any projected change in demand (Column H, PPS Data Sheet) </t>
    </r>
    <r>
      <rPr>
        <b/>
        <sz val="11"/>
        <color theme="1"/>
        <rFont val="Calibri Light"/>
        <family val="2"/>
        <scheme val="major"/>
      </rPr>
      <t>=</t>
    </r>
    <r>
      <rPr>
        <sz val="11"/>
        <color theme="1"/>
        <rFont val="Calibri Light"/>
        <family val="2"/>
        <scheme val="major"/>
      </rPr>
      <t xml:space="preserve"> Estimated number of teams generated by the new population (Column J, Workings Sheet).</t>
    </r>
  </si>
  <si>
    <r>
      <t xml:space="preserve">a.  Estimated number of teams generated by the new population for each age group (Column J, Workings Sheet) </t>
    </r>
    <r>
      <rPr>
        <b/>
        <sz val="11"/>
        <color theme="1"/>
        <rFont val="Calibri Light"/>
        <family val="2"/>
        <scheme val="major"/>
      </rPr>
      <t>/</t>
    </r>
    <r>
      <rPr>
        <sz val="11"/>
        <color theme="1"/>
        <rFont val="Calibri Light"/>
        <family val="2"/>
        <scheme val="major"/>
      </rPr>
      <t xml:space="preserve"> 2 (to reflect home and away play i.e. a team will play a home match every other week) </t>
    </r>
    <r>
      <rPr>
        <b/>
        <sz val="11"/>
        <color theme="1"/>
        <rFont val="Calibri Light"/>
        <family val="2"/>
        <scheme val="major"/>
      </rPr>
      <t>=</t>
    </r>
    <r>
      <rPr>
        <sz val="11"/>
        <color theme="1"/>
        <rFont val="Calibri Light"/>
        <family val="2"/>
        <scheme val="major"/>
      </rPr>
      <t xml:space="preserve"> Estimated demand for home matches generated per week (Column L, Workings Sheet) </t>
    </r>
    <r>
      <rPr>
        <b/>
        <sz val="11"/>
        <color theme="1"/>
        <rFont val="Calibri Light"/>
        <family val="2"/>
        <scheme val="major"/>
      </rPr>
      <t>X</t>
    </r>
    <r>
      <rPr>
        <sz val="11"/>
        <color theme="1"/>
        <rFont val="Calibri Light"/>
        <family val="2"/>
        <scheme val="major"/>
      </rPr>
      <t xml:space="preserve"> the percentage of play during the peak period (Column G, PPS Data Sheet) </t>
    </r>
    <r>
      <rPr>
        <b/>
        <sz val="11"/>
        <color theme="1"/>
        <rFont val="Calibri Light"/>
        <family val="2"/>
        <scheme val="major"/>
      </rPr>
      <t>=</t>
    </r>
    <r>
      <rPr>
        <sz val="11"/>
        <color theme="1"/>
        <rFont val="Calibri Light"/>
        <family val="2"/>
        <scheme val="major"/>
      </rPr>
      <t xml:space="preserve"> Match equivalent sessions during the weekly peak period (Column O, Workings Sheet).</t>
    </r>
  </si>
  <si>
    <r>
      <t xml:space="preserve">b.  For Cricket: Demand is assessed across the season as opposed to per week.  Estimated number of teams generated by the new population for each age group (Column J, Workings Sheet) </t>
    </r>
    <r>
      <rPr>
        <b/>
        <sz val="11"/>
        <color theme="1"/>
        <rFont val="Calibri Light"/>
        <family val="2"/>
        <scheme val="major"/>
      </rPr>
      <t>X</t>
    </r>
    <r>
      <rPr>
        <sz val="11"/>
        <color theme="1"/>
        <rFont val="Calibri Light"/>
        <family val="2"/>
        <scheme val="major"/>
      </rPr>
      <t xml:space="preserve"> 10 home matches a season for the adult age groups (</t>
    </r>
    <r>
      <rPr>
        <b/>
        <sz val="11"/>
        <color theme="1"/>
        <rFont val="Calibri Light"/>
        <family val="2"/>
        <scheme val="major"/>
      </rPr>
      <t>X</t>
    </r>
    <r>
      <rPr>
        <sz val="11"/>
        <color theme="1"/>
        <rFont val="Calibri Light"/>
        <family val="2"/>
        <scheme val="major"/>
      </rPr>
      <t xml:space="preserve"> 8 home matches a season for the junior age groups) </t>
    </r>
    <r>
      <rPr>
        <b/>
        <sz val="11"/>
        <color theme="1"/>
        <rFont val="Calibri Light"/>
        <family val="2"/>
        <scheme val="major"/>
      </rPr>
      <t>=</t>
    </r>
    <r>
      <rPr>
        <sz val="11"/>
        <color theme="1"/>
        <rFont val="Calibri Light"/>
        <family val="2"/>
        <scheme val="major"/>
      </rPr>
      <t xml:space="preserve"> Estimated number of home matches generated per season. The number of home matches equates to the number of match equivalent sessions during the season (Column O, Workings Sheet). The figures of 10 and 8 are a guide as to the number of home matches an average team in the respective age groups could have per season (Source: England and Wales Cricket Board advice within Sport England's Playing Pitch Strategy Guidance).</t>
    </r>
  </si>
  <si>
    <r>
      <t xml:space="preserve">c.  For Rugby Union (Mini/Midi 7-12 years) and Rugby League (Primary 7-11 years):  Number of match equivalent sessions during the weekly peak period (Column O, Workings Sheet) are </t>
    </r>
    <r>
      <rPr>
        <b/>
        <sz val="11"/>
        <color theme="1"/>
        <rFont val="Calibri Light"/>
        <family val="2"/>
        <scheme val="major"/>
      </rPr>
      <t>/</t>
    </r>
    <r>
      <rPr>
        <sz val="11"/>
        <color theme="1"/>
        <rFont val="Calibri Light"/>
        <family val="2"/>
        <scheme val="major"/>
      </rPr>
      <t xml:space="preserve"> 4 before being presented.  This reflects that such age groups tend to use/mark out pitches on top of senior pitches using half a senior pitch for half the time of senior play therefore equating to 0.25 of a senior match equivalent session.    </t>
    </r>
  </si>
  <si>
    <r>
      <rPr>
        <sz val="11"/>
        <color rgb="FF0070C0"/>
        <rFont val="Calibri Light"/>
        <family val="2"/>
        <scheme val="major"/>
      </rPr>
      <t>Link here</t>
    </r>
    <r>
      <rPr>
        <sz val="11"/>
        <color theme="1"/>
        <rFont val="Calibri Light"/>
        <family val="2"/>
        <scheme val="major"/>
      </rPr>
      <t xml:space="preserve"> to the CIL Section of the Government's Planning Practice Guidance.</t>
    </r>
  </si>
  <si>
    <r>
      <t xml:space="preserve">a.  Current population within each age group (Column D, PPS Data Sheet) </t>
    </r>
    <r>
      <rPr>
        <b/>
        <sz val="11"/>
        <color theme="1"/>
        <rFont val="Calibri Light"/>
        <family val="2"/>
        <scheme val="major"/>
      </rPr>
      <t>/</t>
    </r>
    <r>
      <rPr>
        <sz val="11"/>
        <color theme="1"/>
        <rFont val="Calibri Light"/>
        <family val="2"/>
        <scheme val="major"/>
      </rPr>
      <t xml:space="preserve"> the total population of the area (Cell D11, Calculator Sheet) </t>
    </r>
    <r>
      <rPr>
        <b/>
        <sz val="11"/>
        <color theme="1"/>
        <rFont val="Calibri Light"/>
        <family val="2"/>
        <scheme val="major"/>
      </rPr>
      <t>=</t>
    </r>
    <r>
      <rPr>
        <sz val="11"/>
        <color theme="1"/>
        <rFont val="Calibri Light"/>
        <family val="2"/>
        <scheme val="major"/>
      </rPr>
      <t xml:space="preserve"> Current population in each age group as a percentage of the total population (Column F Workings Sheet).</t>
    </r>
  </si>
  <si>
    <t>Q1</t>
  </si>
  <si>
    <t>Q2</t>
  </si>
  <si>
    <t>Q3</t>
  </si>
  <si>
    <t>Q4</t>
  </si>
  <si>
    <t>Q5</t>
  </si>
  <si>
    <t>Q6</t>
  </si>
  <si>
    <t>Q1.  How many people from the new population fall within the individual pitch sport age groups?</t>
  </si>
  <si>
    <t>Q4. What do the match equivalent sessions equate to in terms of new pitch provision?</t>
  </si>
  <si>
    <t>Q5. How much may it cost to provide the new pitch provision?</t>
  </si>
  <si>
    <t>Q6. What might the lifecycle costs of the new provision be?</t>
  </si>
  <si>
    <t>Playing Pitch New Development Calculator                                                                                       Version: January 2018</t>
  </si>
  <si>
    <t>Playing Pitch New Development Calculator - PPS Data Required                                              Version: January 2018</t>
  </si>
  <si>
    <t>Playing Pitch New Development Calculator - Workings Explained                                                                                         Version: January 2018</t>
  </si>
  <si>
    <t xml:space="preserve">Rugby League  = </t>
  </si>
  <si>
    <t xml:space="preserve">Adult football  =   </t>
  </si>
  <si>
    <r>
      <t xml:space="preserve">If the pitch figures above are </t>
    </r>
    <r>
      <rPr>
        <u/>
        <sz val="11"/>
        <color theme="0" tint="-0.499984740745262"/>
        <rFont val="Calibri Light"/>
        <family val="2"/>
        <scheme val="major"/>
      </rPr>
      <t>rounded up to the nearest whole pitch</t>
    </r>
    <r>
      <rPr>
        <sz val="11"/>
        <color theme="0" tint="-0.499984740745262"/>
        <rFont val="Calibri Light"/>
        <family val="2"/>
        <scheme val="major"/>
      </rPr>
      <t xml:space="preserve"> then the calculator suggests the demand equates to a need for: </t>
    </r>
  </si>
  <si>
    <t>*. Figures shown in Parts 2 and 4 on this sheet for both youth football and mini soccer categories combine the results for the relevant age groups (Youth 10-11 and 12-15yrs, Mini Soccer 6-7 and 8-9 yrs). Figures for the individual age groups are available in the Workings Sheet (Column O for Part 2 and Columns Q to Y for Part 4). The pitch costs used are the same for all age groups within the same category (see Workings Sheet, Column T).</t>
  </si>
  <si>
    <t xml:space="preserve">                                                                              Youth*  =</t>
  </si>
  <si>
    <r>
      <rPr>
        <i/>
        <sz val="11"/>
        <color theme="1"/>
        <rFont val="Calibri Light"/>
        <family val="2"/>
        <scheme val="major"/>
      </rPr>
      <t xml:space="preserve">       </t>
    </r>
    <r>
      <rPr>
        <sz val="11"/>
        <color theme="1"/>
        <rFont val="Calibri Light"/>
        <family val="2"/>
        <scheme val="major"/>
      </rPr>
      <t xml:space="preserve">                                                            Mini Soccer*  = </t>
    </r>
  </si>
  <si>
    <t xml:space="preserve">                                                                                                                  Rugby Union   =</t>
  </si>
  <si>
    <t>Sport England has a 'CIL and Planning Obligations Advice Note' available on request from your relevant Sport England Planning Manager or by email at planningforsport@sportengland.org.</t>
  </si>
  <si>
    <t xml:space="preserve">     </t>
  </si>
  <si>
    <t>An explanation of the how the calculator works along with the detailed workings are provided in the final two sheets of this document.</t>
  </si>
  <si>
    <t>2.   help guide the discussion and assessment of individual development proposals once a playing pitch strategy is in place</t>
  </si>
  <si>
    <t>The figures provided by the calculator should be looked at alongside the findings of the assessment work and the strategy recommendations and action plan to determine the most appropriate way of meeting any estimated demand.</t>
  </si>
  <si>
    <t xml:space="preserve">The estimate is of demand from the population of new development. The calculator does not take into account current levels of unmet demand in an area (including latent and displaced demand) or other elements of future demand (e.g. from sports clubs or educational establishments). It is therefore important that the calculator is used to feed into the development of or alongside a playing pitch strategy. </t>
  </si>
  <si>
    <r>
      <t xml:space="preserve">a. Percentage of match play in the peak period 
</t>
    </r>
    <r>
      <rPr>
        <sz val="11"/>
        <color theme="1"/>
        <rFont val="Calibri Light"/>
        <family val="2"/>
        <scheme val="major"/>
      </rPr>
      <t>(N/a for Cricket**)</t>
    </r>
  </si>
  <si>
    <t>**. N/a for Cricket as demand is assessed across the season as opposed to the across the week.</t>
  </si>
  <si>
    <t>The calculator can be used to: 
1.   feed into the development of a playing pitch strategy 
      e.g. to help assess how the demand from future population growth and specific development areas can be met to help with scenario testing and the development of the strategy recommendations and action plan.</t>
  </si>
  <si>
    <t xml:space="preserve">      e.g. to guide, alongside the strategy recommendations and action plan, discussion at the pre-application and planning application stages on how the demand from proposed residential developments can be met. </t>
  </si>
  <si>
    <t xml:space="preserve">The calculator provides an estimate of the demand for match play during the relevant match play peak period for the pitch sports. In line with Sport England's playing pitch strategy guidance the demand is estimated in match equivalent sessions. Information from the playing pitch strategy assessment work may indicate that additional demands will be generated over and above this estimate e.g. provision for training and informal play. </t>
  </si>
  <si>
    <t>PART THREE:  The most appropriate way to meet the estimated demand</t>
  </si>
  <si>
    <t xml:space="preserve">          b.  Undertaking works, and ensuring appropriate long term maintenance and access arrangements, to secure new or greater community use of existing sites;</t>
  </si>
  <si>
    <t xml:space="preserve">4.  When deciding on the most appropriate way of meeting the estimated demand regard should be had to the Government's regulations, policy and guidance regarding the Community Infrastructure Levy (CIL) and the use of planning obligations. </t>
  </si>
  <si>
    <t>An estimate of the costs for providing the new pitches is also provided. These are indicative costs only. Appropriate local work should be undertaken to determine more accurate costings.</t>
  </si>
  <si>
    <t>Source of costs:  Capital Cost - Sport England Facilities Costs Second Quarter 2017
Lifecycle Costs - Based on a % of the total project cost per annum as set out in Sport England's Life Cycle Costs Natural Turf Pitches and Artificial Surfaces documents (April 2012)</t>
  </si>
  <si>
    <t xml:space="preserve">To provide an estimate of demand the calculator requires the following information from the local authority's playing pitch strategy assessment work:
1.  The current population in each pitch sport age group
2.  The Team Generation Rate (TGR) for each pitch sport age group
The above information should be available from the assessment work and should be copied across/entered into the sections below. 
As a default, the calculator assumes that:
a.  All of the estimated demand generated from the new population will take place at the peak time in the week for the respective sports and age groups within the authority area, and
b.  The level of demand is in line with the current level of demand in the area (i.e. it uses current TGRs for the area with no change in the level of demand for any sports).
The two assumptions can be overridden by amending the ('Percentage of match play in the peak period' and 'Projected change in demand') details below against any of the individual pitch sport age groups, in line with information from the authority's playing pitch strategy assessment work*.  </t>
  </si>
  <si>
    <t xml:space="preserve">a.  If the percentage of match play in the peak period is set by the user at 100% (PPS Data sheet, Column G - Optional Info a.) the estimated demand in new pitches (Column Q, Workings Sheet) will equate to the number of match equivalent sessions identified during the weekly peak period (Column O, Workings Sheet) - i.e. all the match sessions will be taking place at the same time  therefore each needing a pitch at the same time.  If the user adjusts the percentage of match play in the peak period from 100% to say 75% then the number of pitches required will reduce by 25% reflecting that not all of sessions will be taking place at the same time.  The exceptions to this are for Cricket and Hockey. </t>
  </si>
  <si>
    <r>
      <t xml:space="preserve">c.  For Hockey: Estimated demand in new pitches for all age groups (Column Q, Workings Sheet) are </t>
    </r>
    <r>
      <rPr>
        <b/>
        <sz val="11"/>
        <color theme="1"/>
        <rFont val="Calibri Light"/>
        <family val="2"/>
        <scheme val="major"/>
      </rPr>
      <t>/</t>
    </r>
    <r>
      <rPr>
        <sz val="11"/>
        <color theme="1"/>
        <rFont val="Calibri Light"/>
        <family val="2"/>
        <scheme val="major"/>
      </rPr>
      <t xml:space="preserve"> 4 before being presented within Part 4 of the Calculator Sheet.  This reflects that a single artificial grass pitch for Hockey can accommodate up to four matches on a peak day i.e. Saturday (Source: England Hockey advice within Sport England's Playing Pitch Strategy Guidance). </t>
    </r>
  </si>
  <si>
    <t>²Lifecycle Costs - Based on a % of the total project cost per annum as set out in Sport England's Life Cycle Costs Natural Turf Pitches and Artificial Surfaces documents (April 2012)</t>
  </si>
  <si>
    <t>Lifecycle Costs - Based on a % of the total project cost per annum as set out in Sport England's Life Cycle Costs Natural Turf Pitches and Artificial Surfaces documents (April 2012)</t>
  </si>
  <si>
    <t>Q2.  How many teams may be generated by the  new population?</t>
  </si>
  <si>
    <r>
      <t xml:space="preserve">*. The </t>
    </r>
    <r>
      <rPr>
        <b/>
        <sz val="9"/>
        <color theme="1"/>
        <rFont val="Calibri Light"/>
        <family val="2"/>
        <scheme val="major"/>
      </rPr>
      <t>peak time demand figures</t>
    </r>
    <r>
      <rPr>
        <sz val="9"/>
        <color theme="1"/>
        <rFont val="Calibri Light"/>
        <family val="2"/>
        <scheme val="major"/>
      </rPr>
      <t xml:space="preserve"> can be amended from the default 100% if the current percentage of play in the peak period for the relevant pitch type is known. Before making any such amendment the playing pitch strategy assessment work should be looked at carefully as it may indicate that a change is not appropriate due to the nature of the peak period varying from season to season, and/or being a result of the lack of available pitches when people would wish to play. It may therefore be deemed appropriate to maintain the 100% figure to ensure that demand from new development can be met during any peak period.   
The </t>
    </r>
    <r>
      <rPr>
        <b/>
        <sz val="9"/>
        <color theme="1"/>
        <rFont val="Calibri Light"/>
        <family val="2"/>
        <scheme val="major"/>
      </rPr>
      <t>projected change in demand figures</t>
    </r>
    <r>
      <rPr>
        <sz val="9"/>
        <color theme="1"/>
        <rFont val="Calibri Light"/>
        <family val="2"/>
        <scheme val="major"/>
      </rPr>
      <t xml:space="preserve"> are set at 0%. However, there may be robust evidence from the assessment work that demand in the area within a particular sport and age group has been growing and is set to continue. In such a case it would be appropriate to amend the figure accordingly to ensure this projected change in demand is incorporated into the calculator so the figures it produces reflect the projected position once the development is occupied.
</t>
    </r>
    <r>
      <rPr>
        <b/>
        <sz val="9"/>
        <color theme="1"/>
        <rFont val="Calibri Light"/>
        <family val="2"/>
        <scheme val="major"/>
      </rPr>
      <t>If there are currently no teams in the area for a particular age group for a sport</t>
    </r>
    <r>
      <rPr>
        <sz val="9"/>
        <color theme="1"/>
        <rFont val="Calibri Light"/>
        <family val="2"/>
        <scheme val="major"/>
      </rPr>
      <t xml:space="preserve"> then the TGR will equal 0. In this case, even if there is evidence from the assessment work that projected changes in demand will increase the number of teams over the timescale of the new development the calculator is being used for, adjusting the relevant figure in column H will not reflect this (i.e. a 25% increase in 0 teams = 0 teams). To overcome this it is suggested that rather than amend Column H, a 'projected' TGR is added to Column E which reflects the projected change in demand i.e. if the assessment work suggests an area may go from 0 Rugby League Adult Womens teams to 2 then the current population in that age group in Column D e.g. 101,166 can be divided by 2 so a 'projected' TGR of 50,583 can be entered into Column E. A note should be made within the calculator to show that the change in demand has been addressed in this way.     </t>
    </r>
  </si>
  <si>
    <t>Q3.  How many match equivalent sessions during the relevant peak period may be demanded by the new population?</t>
  </si>
  <si>
    <t>Playing Pitch New Development Calculator - Workings                                                                                                                                                       Version: January 2018</t>
  </si>
  <si>
    <r>
      <rPr>
        <u/>
        <sz val="11"/>
        <color theme="1"/>
        <rFont val="Calibri Light"/>
        <family val="2"/>
        <scheme val="major"/>
      </rPr>
      <t>Version Control</t>
    </r>
    <r>
      <rPr>
        <sz val="11"/>
        <color theme="1"/>
        <rFont val="Calibri Light"/>
        <family val="2"/>
        <scheme val="major"/>
      </rPr>
      <t xml:space="preserve">  -  This is the January 2018 version of the calculator. The calculator will be updated based on feedback on its use and as Sport England updates any associated information e.g. updated costings. The user should check with Sport England that they are using the most up to date version. To do so please contact your relevant Sport England Planning Manager (if known) or email planningforsport@sportengland.org.</t>
    </r>
  </si>
  <si>
    <r>
      <t xml:space="preserve">Playing Pitch New Development Calculator                                                                                                                     </t>
    </r>
    <r>
      <rPr>
        <b/>
        <sz val="14"/>
        <color theme="1"/>
        <rFont val="Calibri Light"/>
        <family val="2"/>
        <scheme val="major"/>
      </rPr>
      <t>Version: January 2018</t>
    </r>
  </si>
  <si>
    <t>Warwick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</si>
</sst>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38" x14ac:knownFonts="1">
    <font>
      <sz val="10"/>
      <color theme="1"/>
      <name val="Arial"/>
      <family val="2"/>
    </font>
    <font>
      <u/>
      <sz val="10"/>
      <color theme="10"/>
      <name val="Arial"/>
      <family val="2"/>
    </font>
    <font>
      <sz val="11"/>
      <color theme="1"/>
      <name val="Arial"/>
      <family val="2"/>
    </font>
    <font>
      <sz val="10"/>
      <color theme="1"/>
      <name val="Calibri Light"/>
      <family val="2"/>
      <scheme val="major"/>
    </font>
    <font>
      <sz val="12"/>
      <color theme="1"/>
      <name val="Calibri Light"/>
      <family val="2"/>
      <scheme val="major"/>
    </font>
    <font>
      <b/>
      <sz val="11"/>
      <color theme="1"/>
      <name val="Calibri Light"/>
      <family val="2"/>
      <scheme val="major"/>
    </font>
    <font>
      <b/>
      <sz val="16"/>
      <color theme="1"/>
      <name val="Calibri Light"/>
      <family val="2"/>
      <scheme val="major"/>
    </font>
    <font>
      <b/>
      <u/>
      <sz val="12"/>
      <color theme="1"/>
      <name val="Calibri Light"/>
      <family val="2"/>
      <scheme val="major"/>
    </font>
    <font>
      <b/>
      <sz val="10"/>
      <color theme="1"/>
      <name val="Calibri Light"/>
      <family val="2"/>
      <scheme val="major"/>
    </font>
    <font>
      <sz val="11"/>
      <color theme="1"/>
      <name val="Calibri Light"/>
      <family val="2"/>
      <scheme val="major"/>
    </font>
    <font>
      <i/>
      <sz val="10"/>
      <color theme="1"/>
      <name val="Calibri Light"/>
      <family val="2"/>
      <scheme val="major"/>
    </font>
    <font>
      <sz val="11"/>
      <color theme="0" tint="-0.499984740745262"/>
      <name val="Calibri Light"/>
      <family val="2"/>
      <scheme val="major"/>
    </font>
    <font>
      <b/>
      <i/>
      <sz val="10"/>
      <color theme="1"/>
      <name val="Calibri Light"/>
      <family val="2"/>
      <scheme val="major"/>
    </font>
    <font>
      <b/>
      <u/>
      <sz val="8"/>
      <color theme="1"/>
      <name val="Calibri Light"/>
      <family val="2"/>
      <scheme val="major"/>
    </font>
    <font>
      <sz val="8"/>
      <color theme="1"/>
      <name val="Calibri Light"/>
      <family val="2"/>
      <scheme val="major"/>
    </font>
    <font>
      <b/>
      <sz val="12"/>
      <color theme="1"/>
      <name val="Calibri Light"/>
      <family val="2"/>
      <scheme val="major"/>
    </font>
    <font>
      <u/>
      <sz val="10"/>
      <color theme="1"/>
      <name val="Calibri Light"/>
      <family val="2"/>
      <scheme val="major"/>
    </font>
    <font>
      <b/>
      <sz val="10"/>
      <color theme="1"/>
      <name val="Arial"/>
      <family val="2"/>
    </font>
    <font>
      <sz val="9"/>
      <color theme="1"/>
      <name val="Calibri Light"/>
      <family val="2"/>
      <scheme val="major"/>
    </font>
    <font>
      <b/>
      <sz val="9"/>
      <name val="Arial"/>
      <family val="2"/>
    </font>
    <font>
      <sz val="9"/>
      <name val="Arial"/>
      <family val="2"/>
    </font>
    <font>
      <u/>
      <sz val="11"/>
      <color theme="10"/>
      <name val="Calibri Light"/>
      <family val="2"/>
      <scheme val="major"/>
    </font>
    <font>
      <u/>
      <sz val="11"/>
      <color theme="0" tint="-0.499984740745262"/>
      <name val="Calibri Light"/>
      <family val="2"/>
      <scheme val="major"/>
    </font>
    <font>
      <sz val="11"/>
      <color theme="0"/>
      <name val="Calibri Light"/>
      <family val="2"/>
      <scheme val="major"/>
    </font>
    <font>
      <b/>
      <sz val="10"/>
      <name val="Arial"/>
      <family val="2"/>
    </font>
    <font>
      <sz val="10"/>
      <name val="Arial"/>
      <family val="2"/>
    </font>
    <font>
      <b/>
      <sz val="14"/>
      <color theme="1"/>
      <name val="Calibri Light"/>
      <family val="2"/>
      <scheme val="major"/>
    </font>
    <font>
      <b/>
      <u/>
      <sz val="11"/>
      <color theme="1"/>
      <name val="Calibri Light"/>
      <family val="2"/>
      <scheme val="major"/>
    </font>
    <font>
      <b/>
      <sz val="11"/>
      <color theme="4" tint="-0.249977111117893"/>
      <name val="Calibri Light"/>
      <family val="2"/>
      <scheme val="major"/>
    </font>
    <font>
      <sz val="11"/>
      <color theme="10"/>
      <name val="Calibri Light"/>
      <family val="2"/>
      <scheme val="major"/>
    </font>
    <font>
      <sz val="11"/>
      <color rgb="FF0070C0"/>
      <name val="Calibri Light"/>
      <family val="2"/>
      <scheme val="major"/>
    </font>
    <font>
      <i/>
      <sz val="11"/>
      <color theme="1"/>
      <name val="Calibri Light"/>
      <family val="2"/>
      <scheme val="major"/>
    </font>
    <font>
      <u/>
      <sz val="10"/>
      <color theme="8"/>
      <name val="Arial"/>
      <family val="2"/>
    </font>
    <font>
      <b/>
      <sz val="9"/>
      <color theme="1"/>
      <name val="Calibri Light"/>
      <family val="2"/>
      <scheme val="major"/>
    </font>
    <font>
      <b/>
      <sz val="11"/>
      <color theme="4"/>
      <name val="Calibri Light"/>
      <family val="2"/>
      <scheme val="major"/>
    </font>
    <font>
      <u/>
      <sz val="11"/>
      <color theme="1"/>
      <name val="Calibri Light"/>
      <family val="2"/>
      <scheme val="major"/>
    </font>
    <font>
      <sz val="9"/>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bgColor indexed="64"/>
      </patternFill>
    </fill>
    <fill>
      <patternFill patternType="solid">
        <fgColor rgb="FFCCECFF"/>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79998168889431442"/>
        <bgColor indexed="64"/>
      </patternFill>
    </fill>
  </fills>
  <borders count="32">
    <border>
      <left/>
      <right/>
      <top/>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rgb="FFFFC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indexed="64"/>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37">
    <xf numFmtId="0" fontId="0" fillId="0" borderId="0" xfId="0"/>
    <xf numFmtId="0" fontId="4" fillId="2" borderId="0" xfId="0" applyFont="1" applyFill="1" applyBorder="1" applyAlignment="1">
      <alignment horizontal="left" vertical="center" wrapText="1"/>
    </xf>
    <xf numFmtId="0" fontId="3" fillId="2" borderId="0" xfId="0" applyFont="1" applyFill="1"/>
    <xf numFmtId="0" fontId="3" fillId="2" borderId="0" xfId="0" applyFont="1" applyFill="1" applyBorder="1"/>
    <xf numFmtId="3" fontId="3" fillId="2" borderId="0" xfId="0" applyNumberFormat="1" applyFont="1" applyFill="1" applyBorder="1"/>
    <xf numFmtId="0" fontId="10" fillId="2" borderId="0" xfId="0" applyFont="1" applyFill="1"/>
    <xf numFmtId="0" fontId="10" fillId="2" borderId="0" xfId="0" applyFont="1" applyFill="1" applyBorder="1"/>
    <xf numFmtId="0" fontId="4"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righ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3" fillId="2" borderId="0" xfId="0" applyFont="1" applyFill="1" applyBorder="1" applyAlignment="1">
      <alignment vertical="center"/>
    </xf>
    <xf numFmtId="0" fontId="9" fillId="2" borderId="0" xfId="0" applyFont="1" applyFill="1" applyBorder="1" applyAlignment="1">
      <alignment horizontal="left" vertical="center" wrapText="1"/>
    </xf>
    <xf numFmtId="0" fontId="18" fillId="2" borderId="0" xfId="0" applyFont="1" applyFill="1" applyBorder="1"/>
    <xf numFmtId="0" fontId="6" fillId="2" borderId="0" xfId="0" applyFont="1" applyFill="1" applyBorder="1" applyAlignment="1">
      <alignment horizontal="left" vertical="top" wrapText="1"/>
    </xf>
    <xf numFmtId="0" fontId="9"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164" fontId="9" fillId="4" borderId="0" xfId="0" applyNumberFormat="1" applyFont="1" applyFill="1" applyBorder="1" applyAlignment="1">
      <alignment horizontal="left" vertical="center" wrapText="1"/>
    </xf>
    <xf numFmtId="165" fontId="9" fillId="4" borderId="0" xfId="0" applyNumberFormat="1" applyFont="1" applyFill="1" applyBorder="1" applyAlignment="1">
      <alignment horizontal="left" vertical="center" wrapText="1"/>
    </xf>
    <xf numFmtId="0" fontId="9" fillId="2" borderId="0" xfId="0" applyFont="1" applyFill="1" applyBorder="1" applyAlignment="1">
      <alignment horizontal="right" vertical="center" wrapText="1"/>
    </xf>
    <xf numFmtId="49" fontId="5" fillId="2" borderId="0" xfId="0" applyNumberFormat="1" applyFont="1" applyFill="1" applyBorder="1" applyAlignment="1" applyProtection="1">
      <alignment horizontal="center" vertical="center" wrapText="1"/>
      <protection locked="0"/>
    </xf>
    <xf numFmtId="3" fontId="5"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top" wrapText="1"/>
    </xf>
    <xf numFmtId="0" fontId="9" fillId="2" borderId="0" xfId="0"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horizontal="right" vertical="center" wrapText="1"/>
    </xf>
    <xf numFmtId="3" fontId="5" fillId="0" borderId="0"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15" fillId="2"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5" fillId="4" borderId="0" xfId="0" applyFont="1" applyFill="1" applyBorder="1" applyAlignment="1">
      <alignment horizontal="left" vertical="center" wrapText="1"/>
    </xf>
    <xf numFmtId="3" fontId="5" fillId="4" borderId="0" xfId="0" applyNumberFormat="1" applyFont="1" applyFill="1" applyBorder="1" applyAlignment="1" applyProtection="1">
      <alignment horizontal="center" vertical="center" wrapText="1"/>
      <protection locked="0"/>
    </xf>
    <xf numFmtId="0" fontId="5" fillId="4" borderId="0" xfId="0" applyFont="1" applyFill="1" applyBorder="1" applyAlignment="1">
      <alignment horizontal="left" vertical="center" wrapText="1"/>
    </xf>
    <xf numFmtId="3" fontId="9" fillId="4" borderId="0" xfId="0" applyNumberFormat="1" applyFont="1" applyFill="1" applyBorder="1" applyAlignment="1">
      <alignment horizontal="center" vertical="center" wrapText="1"/>
    </xf>
    <xf numFmtId="0" fontId="0" fillId="0" borderId="0" xfId="0" applyAlignment="1">
      <alignment vertical="center" wrapText="1"/>
    </xf>
    <xf numFmtId="0" fontId="9" fillId="2" borderId="0" xfId="0" applyFont="1" applyFill="1" applyAlignment="1">
      <alignment horizontal="right" vertical="center" wrapText="1"/>
    </xf>
    <xf numFmtId="0" fontId="9" fillId="2" borderId="0" xfId="0" applyFont="1" applyFill="1" applyAlignment="1">
      <alignment horizontal="left" vertical="center" wrapText="1"/>
    </xf>
    <xf numFmtId="2" fontId="9" fillId="6" borderId="15" xfId="0" applyNumberFormat="1" applyFont="1" applyFill="1" applyBorder="1" applyAlignment="1">
      <alignment horizontal="center" vertical="center" wrapText="1"/>
    </xf>
    <xf numFmtId="3" fontId="9" fillId="5" borderId="15" xfId="0" applyNumberFormat="1" applyFont="1" applyFill="1" applyBorder="1" applyAlignment="1" applyProtection="1">
      <alignment horizontal="center" vertical="center" wrapText="1"/>
      <protection locked="0"/>
    </xf>
    <xf numFmtId="3" fontId="9" fillId="2" borderId="0" xfId="0" applyNumberFormat="1"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164" fontId="9" fillId="0" borderId="0" xfId="0" applyNumberFormat="1" applyFont="1" applyFill="1" applyBorder="1" applyAlignment="1">
      <alignment horizontal="center" vertical="center" wrapText="1"/>
    </xf>
    <xf numFmtId="0" fontId="18" fillId="2" borderId="0" xfId="0" applyFont="1" applyFill="1" applyBorder="1" applyAlignment="1">
      <alignment horizontal="left" wrapText="1"/>
    </xf>
    <xf numFmtId="0" fontId="18" fillId="2" borderId="0" xfId="0" applyFont="1" applyFill="1" applyBorder="1" applyAlignment="1">
      <alignment wrapText="1"/>
    </xf>
    <xf numFmtId="0" fontId="18" fillId="4" borderId="0" xfId="0" applyFont="1" applyFill="1" applyBorder="1" applyAlignment="1">
      <alignment horizontal="left" wrapText="1"/>
    </xf>
    <xf numFmtId="164" fontId="11" fillId="2" borderId="0" xfId="0" applyNumberFormat="1" applyFont="1" applyFill="1" applyBorder="1" applyAlignment="1">
      <alignment horizontal="center" vertical="center" wrapText="1"/>
    </xf>
    <xf numFmtId="0" fontId="11" fillId="2" borderId="0" xfId="0" applyFont="1" applyFill="1" applyBorder="1" applyAlignment="1">
      <alignment horizontal="right" vertical="center" wrapText="1"/>
    </xf>
    <xf numFmtId="2" fontId="11" fillId="2" borderId="0"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0" fontId="9"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center" wrapText="1"/>
    </xf>
    <xf numFmtId="0" fontId="8" fillId="2" borderId="8" xfId="0" applyFont="1" applyFill="1" applyBorder="1" applyAlignment="1">
      <alignment horizontal="center" vertical="center" wrapText="1"/>
    </xf>
    <xf numFmtId="0" fontId="3" fillId="2" borderId="0" xfId="0" applyFont="1" applyFill="1" applyBorder="1" applyAlignment="1">
      <alignment horizontal="center"/>
    </xf>
    <xf numFmtId="0" fontId="8"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2" borderId="3" xfId="0" applyFont="1" applyFill="1" applyBorder="1" applyAlignment="1">
      <alignment vertical="top"/>
    </xf>
    <xf numFmtId="0" fontId="3" fillId="2" borderId="0" xfId="0" applyFont="1" applyFill="1" applyBorder="1" applyAlignment="1">
      <alignment vertical="top"/>
    </xf>
    <xf numFmtId="166" fontId="3" fillId="2" borderId="7" xfId="0" applyNumberFormat="1" applyFont="1" applyFill="1" applyBorder="1" applyAlignment="1">
      <alignment horizontal="right"/>
    </xf>
    <xf numFmtId="1" fontId="3" fillId="2" borderId="7" xfId="0" applyNumberFormat="1" applyFont="1" applyFill="1" applyBorder="1"/>
    <xf numFmtId="2" fontId="3" fillId="2" borderId="9" xfId="0" applyNumberFormat="1" applyFont="1" applyFill="1" applyBorder="1"/>
    <xf numFmtId="2" fontId="3" fillId="2" borderId="14" xfId="0" applyNumberFormat="1" applyFont="1" applyFill="1" applyBorder="1"/>
    <xf numFmtId="2" fontId="3" fillId="2" borderId="7" xfId="0" applyNumberFormat="1" applyFont="1" applyFill="1" applyBorder="1"/>
    <xf numFmtId="9" fontId="3" fillId="2" borderId="7" xfId="0" applyNumberFormat="1" applyFont="1" applyFill="1" applyBorder="1"/>
    <xf numFmtId="2" fontId="3" fillId="2" borderId="25" xfId="0" applyNumberFormat="1" applyFont="1" applyFill="1" applyBorder="1"/>
    <xf numFmtId="2" fontId="3" fillId="2" borderId="29" xfId="0" applyNumberFormat="1" applyFont="1" applyFill="1" applyBorder="1" applyAlignment="1"/>
    <xf numFmtId="2" fontId="3" fillId="2" borderId="0" xfId="0" applyNumberFormat="1" applyFont="1" applyFill="1" applyBorder="1" applyAlignment="1">
      <alignment horizontal="center"/>
    </xf>
    <xf numFmtId="3" fontId="3" fillId="2" borderId="10" xfId="0" applyNumberFormat="1" applyFont="1" applyFill="1" applyBorder="1"/>
    <xf numFmtId="0" fontId="3" fillId="2" borderId="2" xfId="0" applyFont="1" applyFill="1" applyBorder="1" applyAlignment="1">
      <alignment vertical="top"/>
    </xf>
    <xf numFmtId="2" fontId="3" fillId="2" borderId="6" xfId="0" applyNumberFormat="1" applyFont="1" applyFill="1" applyBorder="1"/>
    <xf numFmtId="2" fontId="3" fillId="2" borderId="28" xfId="0" applyNumberFormat="1" applyFont="1" applyFill="1" applyBorder="1" applyAlignment="1"/>
    <xf numFmtId="3" fontId="3" fillId="2" borderId="7" xfId="0" applyNumberFormat="1" applyFont="1" applyFill="1" applyBorder="1"/>
    <xf numFmtId="3" fontId="3" fillId="2" borderId="9" xfId="0" applyNumberFormat="1" applyFont="1" applyFill="1" applyBorder="1"/>
    <xf numFmtId="3" fontId="3" fillId="2" borderId="18" xfId="0" applyNumberFormat="1" applyFont="1" applyFill="1" applyBorder="1"/>
    <xf numFmtId="2" fontId="3" fillId="2" borderId="16" xfId="0" applyNumberFormat="1" applyFont="1" applyFill="1" applyBorder="1" applyAlignment="1"/>
    <xf numFmtId="0" fontId="3" fillId="2" borderId="4" xfId="0" applyFont="1" applyFill="1" applyBorder="1" applyAlignment="1">
      <alignment vertical="top"/>
    </xf>
    <xf numFmtId="0" fontId="3" fillId="2" borderId="10" xfId="0" applyFont="1" applyFill="1" applyBorder="1"/>
    <xf numFmtId="0" fontId="3" fillId="2" borderId="5" xfId="0" applyFont="1" applyFill="1" applyBorder="1" applyAlignment="1">
      <alignment vertical="top"/>
    </xf>
    <xf numFmtId="166" fontId="3" fillId="2" borderId="12" xfId="0" applyNumberFormat="1" applyFont="1" applyFill="1" applyBorder="1" applyAlignment="1">
      <alignment horizontal="right"/>
    </xf>
    <xf numFmtId="1" fontId="3" fillId="2" borderId="12" xfId="0" applyNumberFormat="1" applyFont="1" applyFill="1" applyBorder="1"/>
    <xf numFmtId="2" fontId="3" fillId="2" borderId="12" xfId="0" applyNumberFormat="1" applyFont="1" applyFill="1" applyBorder="1"/>
    <xf numFmtId="2" fontId="3" fillId="2" borderId="13" xfId="0" applyNumberFormat="1" applyFont="1" applyFill="1" applyBorder="1"/>
    <xf numFmtId="2" fontId="3" fillId="2" borderId="11" xfId="0" applyNumberFormat="1" applyFont="1" applyFill="1" applyBorder="1"/>
    <xf numFmtId="9" fontId="3" fillId="2" borderId="12" xfId="0" applyNumberFormat="1" applyFont="1" applyFill="1" applyBorder="1"/>
    <xf numFmtId="3" fontId="3" fillId="2" borderId="11" xfId="0" applyNumberFormat="1" applyFont="1" applyFill="1" applyBorder="1"/>
    <xf numFmtId="9" fontId="3" fillId="2" borderId="7" xfId="0" applyNumberFormat="1" applyFont="1" applyFill="1" applyBorder="1" applyAlignment="1">
      <alignment horizontal="right"/>
    </xf>
    <xf numFmtId="9" fontId="3" fillId="2" borderId="12" xfId="0" applyNumberFormat="1" applyFont="1" applyFill="1" applyBorder="1" applyAlignment="1">
      <alignment horizontal="right"/>
    </xf>
    <xf numFmtId="2" fontId="3" fillId="2" borderId="26" xfId="0" applyNumberFormat="1" applyFont="1" applyFill="1" applyBorder="1"/>
    <xf numFmtId="2" fontId="3" fillId="2" borderId="17" xfId="0" applyNumberFormat="1" applyFont="1" applyFill="1" applyBorder="1" applyAlignment="1"/>
    <xf numFmtId="2" fontId="3" fillId="2" borderId="10" xfId="0" applyNumberFormat="1" applyFont="1" applyFill="1" applyBorder="1"/>
    <xf numFmtId="2" fontId="3" fillId="2" borderId="15" xfId="0" applyNumberFormat="1" applyFont="1" applyFill="1" applyBorder="1" applyAlignment="1">
      <alignment horizontal="right"/>
    </xf>
    <xf numFmtId="3" fontId="3" fillId="2" borderId="24" xfId="0" applyNumberFormat="1" applyFont="1" applyFill="1" applyBorder="1"/>
    <xf numFmtId="3" fontId="3" fillId="2" borderId="25" xfId="0" applyNumberFormat="1" applyFont="1" applyFill="1" applyBorder="1"/>
    <xf numFmtId="2" fontId="3" fillId="2" borderId="0" xfId="0" applyNumberFormat="1" applyFont="1" applyFill="1" applyBorder="1"/>
    <xf numFmtId="3" fontId="10" fillId="2" borderId="20" xfId="0" applyNumberFormat="1" applyFont="1" applyFill="1" applyBorder="1"/>
    <xf numFmtId="3" fontId="3" fillId="2" borderId="20" xfId="0" applyNumberFormat="1" applyFont="1" applyFill="1" applyBorder="1"/>
    <xf numFmtId="3" fontId="10" fillId="2" borderId="0" xfId="0" applyNumberFormat="1" applyFont="1" applyFill="1" applyBorder="1"/>
    <xf numFmtId="2" fontId="3" fillId="2" borderId="19" xfId="0" applyNumberFormat="1" applyFont="1" applyFill="1" applyBorder="1"/>
    <xf numFmtId="3" fontId="10" fillId="2" borderId="21" xfId="0" applyNumberFormat="1" applyFont="1" applyFill="1" applyBorder="1"/>
    <xf numFmtId="3" fontId="3" fillId="2" borderId="21" xfId="0" applyNumberFormat="1" applyFont="1" applyFill="1" applyBorder="1"/>
    <xf numFmtId="0" fontId="3" fillId="2" borderId="9" xfId="0" applyFont="1" applyFill="1" applyBorder="1" applyAlignment="1">
      <alignment horizontal="right"/>
    </xf>
    <xf numFmtId="2" fontId="3" fillId="2" borderId="17" xfId="0" applyNumberFormat="1" applyFont="1" applyFill="1" applyBorder="1"/>
    <xf numFmtId="2" fontId="3" fillId="2" borderId="15" xfId="0" applyNumberFormat="1" applyFont="1" applyFill="1" applyBorder="1"/>
    <xf numFmtId="2" fontId="3" fillId="2" borderId="15" xfId="0" applyNumberFormat="1" applyFont="1" applyFill="1" applyBorder="1" applyAlignment="1">
      <alignment horizontal="center"/>
    </xf>
    <xf numFmtId="0" fontId="3" fillId="2" borderId="7" xfId="0" applyFont="1" applyFill="1" applyBorder="1" applyAlignment="1">
      <alignment horizontal="right"/>
    </xf>
    <xf numFmtId="3" fontId="3" fillId="2" borderId="25" xfId="0" applyNumberFormat="1" applyFont="1" applyFill="1" applyBorder="1" applyAlignment="1">
      <alignment horizontal="right"/>
    </xf>
    <xf numFmtId="0" fontId="3" fillId="2" borderId="0" xfId="0" applyFont="1" applyFill="1" applyBorder="1" applyAlignment="1">
      <alignment horizontal="right"/>
    </xf>
    <xf numFmtId="3" fontId="3" fillId="2" borderId="0" xfId="0" applyNumberFormat="1" applyFont="1" applyFill="1" applyBorder="1" applyAlignment="1">
      <alignment horizontal="right"/>
    </xf>
    <xf numFmtId="0" fontId="8" fillId="2" borderId="0" xfId="0" applyFont="1" applyFill="1" applyBorder="1"/>
    <xf numFmtId="0" fontId="13" fillId="2" borderId="0" xfId="0" applyFont="1" applyFill="1" applyBorder="1"/>
    <xf numFmtId="0" fontId="14" fillId="2" borderId="0" xfId="0" applyFont="1" applyFill="1" applyBorder="1"/>
    <xf numFmtId="0" fontId="18" fillId="2" borderId="15" xfId="0" applyFont="1" applyFill="1" applyBorder="1"/>
    <xf numFmtId="0" fontId="19" fillId="2" borderId="15" xfId="0" applyFont="1" applyFill="1" applyBorder="1"/>
    <xf numFmtId="0" fontId="20" fillId="2" borderId="15" xfId="0" applyFont="1" applyFill="1" applyBorder="1"/>
    <xf numFmtId="0" fontId="3" fillId="4" borderId="0" xfId="0" applyFont="1" applyFill="1"/>
    <xf numFmtId="0" fontId="10" fillId="4" borderId="0" xfId="0" applyFont="1" applyFill="1"/>
    <xf numFmtId="0" fontId="18" fillId="4" borderId="0" xfId="0" applyFont="1" applyFill="1" applyBorder="1"/>
    <xf numFmtId="0" fontId="10" fillId="4" borderId="0" xfId="0" applyFont="1" applyFill="1" applyBorder="1"/>
    <xf numFmtId="0" fontId="3" fillId="4" borderId="0" xfId="0" applyFont="1" applyFill="1" applyBorder="1"/>
    <xf numFmtId="3" fontId="3" fillId="4" borderId="0" xfId="0" applyNumberFormat="1" applyFont="1" applyFill="1" applyBorder="1"/>
    <xf numFmtId="0" fontId="23" fillId="4" borderId="0" xfId="0" applyFont="1" applyFill="1" applyBorder="1" applyAlignment="1">
      <alignment horizontal="left" vertical="center" wrapText="1"/>
    </xf>
    <xf numFmtId="0" fontId="16" fillId="2" borderId="0" xfId="0" applyFont="1" applyFill="1" applyBorder="1"/>
    <xf numFmtId="9" fontId="3" fillId="2" borderId="0" xfId="0" applyNumberFormat="1" applyFont="1" applyFill="1" applyBorder="1"/>
    <xf numFmtId="0" fontId="5" fillId="2" borderId="0" xfId="0" applyFont="1" applyFill="1" applyBorder="1" applyAlignment="1">
      <alignment vertical="center"/>
    </xf>
    <xf numFmtId="0" fontId="3" fillId="2" borderId="15" xfId="0" applyFont="1" applyFill="1" applyBorder="1" applyAlignment="1">
      <alignment vertical="top"/>
    </xf>
    <xf numFmtId="3" fontId="8" fillId="2" borderId="15" xfId="0" applyNumberFormat="1" applyFont="1" applyFill="1" applyBorder="1" applyAlignment="1" applyProtection="1">
      <alignment vertical="top"/>
      <protection locked="0"/>
    </xf>
    <xf numFmtId="9" fontId="3" fillId="2" borderId="15" xfId="0" applyNumberFormat="1" applyFont="1" applyFill="1" applyBorder="1" applyAlignment="1" applyProtection="1">
      <alignment horizontal="right"/>
      <protection locked="0"/>
    </xf>
    <xf numFmtId="9" fontId="3" fillId="2" borderId="15" xfId="0" applyNumberFormat="1" applyFont="1" applyFill="1" applyBorder="1" applyProtection="1">
      <protection locked="0"/>
    </xf>
    <xf numFmtId="0" fontId="9" fillId="2" borderId="30" xfId="0" applyFont="1" applyFill="1" applyBorder="1" applyAlignment="1">
      <alignment horizontal="right"/>
    </xf>
    <xf numFmtId="0" fontId="8" fillId="2" borderId="30" xfId="0" applyFont="1" applyFill="1" applyBorder="1" applyProtection="1">
      <protection locked="0"/>
    </xf>
    <xf numFmtId="0" fontId="5" fillId="2" borderId="30" xfId="0" applyFont="1" applyFill="1" applyBorder="1"/>
    <xf numFmtId="0" fontId="9" fillId="2" borderId="28" xfId="0" applyFont="1" applyFill="1" applyBorder="1"/>
    <xf numFmtId="0" fontId="5" fillId="2" borderId="15" xfId="0" applyFont="1" applyFill="1" applyBorder="1" applyAlignment="1">
      <alignment horizontal="right" vertical="center" wrapText="1"/>
    </xf>
    <xf numFmtId="0" fontId="3" fillId="4" borderId="0" xfId="0" applyFont="1" applyFill="1" applyBorder="1" applyAlignment="1">
      <alignment vertical="center"/>
    </xf>
    <xf numFmtId="0" fontId="3" fillId="3" borderId="15" xfId="0" applyFont="1" applyFill="1" applyBorder="1" applyAlignment="1">
      <alignment vertical="top"/>
    </xf>
    <xf numFmtId="3" fontId="8" fillId="3" borderId="15" xfId="0" applyNumberFormat="1" applyFont="1" applyFill="1" applyBorder="1" applyAlignment="1" applyProtection="1">
      <alignment vertical="top"/>
      <protection locked="0"/>
    </xf>
    <xf numFmtId="9" fontId="3" fillId="3" borderId="15" xfId="0" applyNumberFormat="1" applyFont="1" applyFill="1" applyBorder="1" applyProtection="1">
      <protection locked="0"/>
    </xf>
    <xf numFmtId="0" fontId="9" fillId="4" borderId="0" xfId="0" applyFont="1" applyFill="1" applyBorder="1" applyAlignment="1">
      <alignment vertical="top" wrapText="1"/>
    </xf>
    <xf numFmtId="0" fontId="9" fillId="2" borderId="0" xfId="0" applyFont="1" applyFill="1" applyBorder="1" applyAlignment="1">
      <alignmen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9" fillId="2" borderId="0" xfId="0" applyFont="1" applyFill="1" applyBorder="1" applyAlignment="1">
      <alignment horizontal="center" vertical="top" wrapText="1"/>
    </xf>
    <xf numFmtId="0" fontId="21" fillId="2" borderId="0" xfId="1" applyFont="1" applyFill="1" applyBorder="1" applyAlignment="1">
      <alignment horizontal="left"/>
    </xf>
    <xf numFmtId="0" fontId="21" fillId="4" borderId="0" xfId="1" applyFont="1" applyFill="1" applyBorder="1" applyAlignment="1">
      <alignment horizontal="left"/>
    </xf>
    <xf numFmtId="0" fontId="21" fillId="2" borderId="0" xfId="1" applyFont="1" applyFill="1" applyBorder="1" applyAlignment="1">
      <alignment vertical="top" wrapText="1"/>
    </xf>
    <xf numFmtId="0" fontId="21" fillId="4" borderId="0" xfId="1" applyFont="1" applyFill="1" applyBorder="1" applyAlignment="1">
      <alignment vertical="top" wrapText="1"/>
    </xf>
    <xf numFmtId="2" fontId="0" fillId="0" borderId="15" xfId="0" applyNumberFormat="1" applyFill="1" applyBorder="1"/>
    <xf numFmtId="2" fontId="25" fillId="0" borderId="15" xfId="0" applyNumberFormat="1" applyFont="1" applyFill="1" applyBorder="1"/>
    <xf numFmtId="2" fontId="24" fillId="0" borderId="15" xfId="0" applyNumberFormat="1" applyFont="1" applyFill="1" applyBorder="1" applyAlignment="1">
      <alignment horizontal="right"/>
    </xf>
    <xf numFmtId="0" fontId="0" fillId="4" borderId="0" xfId="0" applyFill="1" applyAlignment="1">
      <alignment vertical="center" wrapText="1"/>
    </xf>
    <xf numFmtId="0" fontId="0" fillId="2" borderId="0" xfId="0" applyFill="1" applyAlignment="1">
      <alignment vertical="center" wrapText="1"/>
    </xf>
    <xf numFmtId="0" fontId="9" fillId="2"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0" xfId="0" applyFont="1" applyFill="1" applyBorder="1" applyAlignment="1">
      <alignment vertical="top" wrapText="1"/>
    </xf>
    <xf numFmtId="0" fontId="0" fillId="0" borderId="0" xfId="0" applyFont="1" applyBorder="1" applyAlignment="1">
      <alignment vertical="center" wrapText="1"/>
    </xf>
    <xf numFmtId="0" fontId="9" fillId="2" borderId="0" xfId="1" applyFont="1" applyFill="1" applyBorder="1" applyAlignment="1">
      <alignment horizontal="left" vertical="center" wrapText="1"/>
    </xf>
    <xf numFmtId="0" fontId="0" fillId="2" borderId="0" xfId="0" applyFont="1" applyFill="1" applyBorder="1" applyAlignment="1">
      <alignment vertical="center" wrapText="1"/>
    </xf>
    <xf numFmtId="0" fontId="9" fillId="2" borderId="0" xfId="0" applyFont="1" applyFill="1" applyBorder="1" applyAlignment="1" applyProtection="1">
      <alignment horizontal="left" vertical="center" wrapText="1"/>
      <protection locked="0"/>
    </xf>
    <xf numFmtId="49" fontId="28" fillId="2" borderId="15" xfId="0" applyNumberFormat="1" applyFont="1" applyFill="1" applyBorder="1" applyAlignment="1" applyProtection="1">
      <alignment horizontal="right" vertical="top" wrapText="1"/>
      <protection locked="0"/>
    </xf>
    <xf numFmtId="0" fontId="0" fillId="2" borderId="0" xfId="0" applyFill="1" applyAlignment="1">
      <alignment vertical="center" wrapText="1"/>
    </xf>
    <xf numFmtId="0" fontId="9" fillId="4"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2" fontId="9" fillId="0" borderId="0"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164" fontId="9" fillId="2" borderId="0" xfId="0" applyNumberFormat="1" applyFont="1" applyFill="1" applyBorder="1" applyAlignment="1">
      <alignment horizontal="center" vertical="center" wrapText="1"/>
    </xf>
    <xf numFmtId="0" fontId="3" fillId="2" borderId="0" xfId="0" applyFont="1" applyFill="1" applyAlignment="1">
      <alignment vertical="center" wrapText="1"/>
    </xf>
    <xf numFmtId="0" fontId="9" fillId="2" borderId="0" xfId="0" applyFont="1" applyFill="1" applyAlignment="1">
      <alignment vertical="center" wrapText="1"/>
    </xf>
    <xf numFmtId="0" fontId="5" fillId="2" borderId="0" xfId="0" applyFont="1" applyFill="1" applyAlignment="1">
      <alignment horizontal="left" vertical="center" wrapText="1"/>
    </xf>
    <xf numFmtId="0" fontId="9" fillId="4" borderId="0" xfId="0" applyFont="1" applyFill="1" applyAlignment="1">
      <alignment vertical="center" wrapText="1"/>
    </xf>
    <xf numFmtId="0" fontId="9" fillId="4" borderId="0" xfId="0" applyFont="1" applyFill="1" applyBorder="1" applyAlignment="1">
      <alignment vertical="center" wrapText="1"/>
    </xf>
    <xf numFmtId="0" fontId="34" fillId="0" borderId="0" xfId="0" applyFont="1" applyFill="1" applyBorder="1" applyAlignment="1" applyProtection="1">
      <alignment horizontal="center" vertical="center" wrapText="1"/>
      <protection locked="0"/>
    </xf>
    <xf numFmtId="49" fontId="9" fillId="5" borderId="15" xfId="0" applyNumberFormat="1" applyFont="1" applyFill="1" applyBorder="1" applyAlignment="1" applyProtection="1">
      <alignment horizontal="center" vertical="center" wrapText="1"/>
      <protection locked="0"/>
    </xf>
    <xf numFmtId="3" fontId="9" fillId="8" borderId="15" xfId="0" applyNumberFormat="1" applyFont="1" applyFill="1" applyBorder="1" applyAlignment="1" applyProtection="1">
      <alignment horizontal="center" vertical="center" wrapText="1"/>
      <protection locked="0"/>
    </xf>
    <xf numFmtId="0" fontId="29" fillId="2" borderId="0" xfId="1" applyFont="1" applyFill="1" applyBorder="1" applyAlignment="1" applyProtection="1">
      <alignment horizontal="left"/>
      <protection locked="0"/>
    </xf>
    <xf numFmtId="0" fontId="29" fillId="2" borderId="0" xfId="1" applyFont="1" applyFill="1" applyBorder="1" applyAlignment="1" applyProtection="1">
      <alignment vertical="top" wrapText="1"/>
      <protection locked="0"/>
    </xf>
    <xf numFmtId="1" fontId="0" fillId="0" borderId="15" xfId="0" applyNumberFormat="1" applyBorder="1" applyProtection="1">
      <protection locked="0"/>
    </xf>
    <xf numFmtId="1" fontId="0" fillId="0" borderId="15" xfId="0" applyNumberFormat="1" applyFill="1" applyBorder="1" applyProtection="1">
      <protection locked="0"/>
    </xf>
    <xf numFmtId="1" fontId="36" fillId="0" borderId="15" xfId="0" applyNumberFormat="1" applyFont="1" applyBorder="1" applyProtection="1">
      <protection locked="0"/>
    </xf>
    <xf numFmtId="1" fontId="36" fillId="0" borderId="15" xfId="0" applyNumberFormat="1" applyFont="1" applyFill="1" applyBorder="1" applyProtection="1">
      <protection locked="0"/>
    </xf>
    <xf numFmtId="0" fontId="37" fillId="9" borderId="15" xfId="0" applyFont="1" applyFill="1" applyBorder="1" applyAlignment="1" applyProtection="1">
      <alignment vertical="top"/>
      <protection locked="0"/>
    </xf>
    <xf numFmtId="1" fontId="37" fillId="3" borderId="15" xfId="0" applyNumberFormat="1" applyFont="1" applyFill="1" applyBorder="1" applyAlignment="1" applyProtection="1">
      <alignment vertical="top"/>
      <protection locked="0"/>
    </xf>
    <xf numFmtId="0" fontId="6" fillId="2" borderId="0" xfId="0" applyFont="1" applyFill="1" applyBorder="1" applyAlignment="1">
      <alignment horizontal="left" vertical="center" wrapTex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9" fillId="0" borderId="0" xfId="0" applyFont="1" applyFill="1" applyAlignment="1">
      <alignment vertical="center" wrapText="1"/>
    </xf>
    <xf numFmtId="0" fontId="5" fillId="2" borderId="0" xfId="0" applyFont="1" applyFill="1" applyAlignment="1">
      <alignment vertical="center" wrapText="1"/>
    </xf>
    <xf numFmtId="0" fontId="9" fillId="0" borderId="0" xfId="0" applyFont="1" applyAlignment="1">
      <alignment vertical="center" wrapText="1"/>
    </xf>
    <xf numFmtId="0" fontId="6" fillId="2" borderId="0" xfId="0" applyFont="1" applyFill="1" applyBorder="1" applyAlignment="1">
      <alignment horizontal="left" vertical="top" wrapText="1"/>
    </xf>
    <xf numFmtId="0" fontId="0" fillId="0" borderId="0" xfId="0" applyAlignment="1">
      <alignment horizontal="left" vertical="top" wrapText="1"/>
    </xf>
    <xf numFmtId="0" fontId="9" fillId="2" borderId="31" xfId="0" applyFont="1" applyFill="1" applyBorder="1" applyAlignment="1">
      <alignment horizontal="center" vertical="center" wrapText="1"/>
    </xf>
    <xf numFmtId="0" fontId="0" fillId="0" borderId="16" xfId="0" applyBorder="1" applyAlignment="1">
      <alignment horizontal="center" vertical="center" wrapText="1"/>
    </xf>
    <xf numFmtId="0" fontId="5" fillId="2" borderId="0" xfId="0" applyFont="1" applyFill="1" applyBorder="1" applyAlignment="1">
      <alignment horizontal="left" vertical="center" wrapText="1"/>
    </xf>
    <xf numFmtId="0" fontId="15" fillId="2" borderId="0" xfId="0" applyFont="1" applyFill="1" applyBorder="1" applyAlignment="1" applyProtection="1">
      <alignment horizontal="left" vertical="top" wrapText="1"/>
    </xf>
    <xf numFmtId="0" fontId="0" fillId="0" borderId="0" xfId="0" applyAlignment="1" applyProtection="1">
      <alignment horizontal="left" wrapText="1"/>
    </xf>
    <xf numFmtId="0" fontId="9" fillId="2" borderId="0" xfId="0" applyFont="1" applyFill="1" applyBorder="1" applyAlignment="1">
      <alignment horizontal="left" vertical="center" wrapText="1"/>
    </xf>
    <xf numFmtId="0" fontId="0" fillId="0" borderId="0" xfId="0" applyFont="1" applyAlignment="1">
      <alignment vertical="center" wrapText="1"/>
    </xf>
    <xf numFmtId="0" fontId="15" fillId="2" borderId="0" xfId="0" applyFont="1" applyFill="1" applyBorder="1" applyAlignment="1">
      <alignment horizontal="left" vertical="center" wrapText="1"/>
    </xf>
    <xf numFmtId="0" fontId="0" fillId="0" borderId="0" xfId="0" applyAlignment="1">
      <alignment vertical="center" wrapText="1"/>
    </xf>
    <xf numFmtId="0" fontId="9" fillId="2" borderId="0" xfId="1" applyFont="1" applyFill="1" applyBorder="1" applyAlignment="1">
      <alignment horizontal="left" vertical="center" wrapText="1"/>
    </xf>
    <xf numFmtId="0" fontId="0" fillId="0" borderId="0" xfId="0" applyFont="1" applyBorder="1" applyAlignment="1">
      <alignment vertical="center" wrapText="1"/>
    </xf>
    <xf numFmtId="0" fontId="9" fillId="4"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Font="1" applyAlignment="1">
      <alignment horizontal="left" vertical="center" wrapText="1"/>
    </xf>
    <xf numFmtId="0" fontId="11" fillId="2" borderId="0" xfId="0" applyFont="1" applyFill="1" applyBorder="1" applyAlignment="1">
      <alignment horizontal="left" vertical="center" wrapText="1"/>
    </xf>
    <xf numFmtId="0" fontId="9" fillId="2" borderId="0" xfId="0" applyFont="1" applyFill="1" applyBorder="1" applyAlignment="1">
      <alignment vertical="top" wrapText="1"/>
    </xf>
    <xf numFmtId="0" fontId="32" fillId="2" borderId="0" xfId="1" applyFont="1" applyFill="1" applyBorder="1" applyAlignment="1" applyProtection="1">
      <alignment horizontal="left" wrapText="1"/>
      <protection locked="0"/>
    </xf>
    <xf numFmtId="0" fontId="9" fillId="2" borderId="0" xfId="0" applyFont="1" applyFill="1" applyBorder="1" applyAlignment="1">
      <alignment horizontal="left" vertical="top" wrapText="1"/>
    </xf>
    <xf numFmtId="0" fontId="0" fillId="0" borderId="0" xfId="0" applyAlignment="1">
      <alignment vertical="top" wrapText="1"/>
    </xf>
    <xf numFmtId="0" fontId="0" fillId="0" borderId="0" xfId="0" applyFont="1" applyAlignment="1">
      <alignment horizontal="center" vertical="center" wrapText="1"/>
    </xf>
    <xf numFmtId="0" fontId="18" fillId="2" borderId="0" xfId="0" applyFont="1" applyFill="1" applyBorder="1" applyAlignment="1">
      <alignment vertical="center" wrapText="1"/>
    </xf>
    <xf numFmtId="0" fontId="18" fillId="2" borderId="0" xfId="0" applyFont="1" applyFill="1" applyBorder="1" applyAlignment="1">
      <alignment vertical="center"/>
    </xf>
    <xf numFmtId="0" fontId="0" fillId="0" borderId="0" xfId="0" applyAlignment="1">
      <alignment vertical="center"/>
    </xf>
    <xf numFmtId="0" fontId="6" fillId="2" borderId="0" xfId="0" applyFont="1" applyFill="1" applyBorder="1" applyAlignment="1">
      <alignment vertical="top"/>
    </xf>
    <xf numFmtId="0" fontId="0" fillId="0" borderId="0" xfId="0" applyAlignment="1"/>
    <xf numFmtId="0" fontId="5" fillId="2" borderId="15" xfId="0" applyFont="1" applyFill="1" applyBorder="1" applyAlignment="1">
      <alignment horizontal="right" vertical="center" wrapText="1"/>
    </xf>
    <xf numFmtId="0" fontId="5" fillId="2" borderId="15" xfId="0" applyFont="1" applyFill="1" applyBorder="1" applyAlignment="1">
      <alignment horizontal="left" vertical="center" wrapText="1"/>
    </xf>
    <xf numFmtId="3" fontId="5" fillId="2" borderId="15" xfId="0" applyNumberFormat="1" applyFont="1" applyFill="1" applyBorder="1" applyAlignment="1">
      <alignment horizontal="center"/>
    </xf>
    <xf numFmtId="0" fontId="5" fillId="2" borderId="15" xfId="0" applyFont="1" applyFill="1" applyBorder="1" applyAlignment="1">
      <alignment horizontal="center"/>
    </xf>
    <xf numFmtId="0" fontId="0" fillId="0" borderId="0" xfId="0" applyAlignment="1">
      <alignment horizontal="left" wrapText="1"/>
    </xf>
    <xf numFmtId="0" fontId="3" fillId="2" borderId="0" xfId="0" applyFont="1" applyFill="1" applyBorder="1" applyAlignment="1">
      <alignment vertical="top" wrapText="1"/>
    </xf>
    <xf numFmtId="0" fontId="8"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1" fillId="2" borderId="0" xfId="1" applyFill="1" applyBorder="1" applyAlignment="1" applyProtection="1">
      <alignment horizontal="left" vertical="top" wrapText="1"/>
      <protection locked="0"/>
    </xf>
    <xf numFmtId="0" fontId="1" fillId="2" borderId="0" xfId="1" applyFill="1" applyBorder="1" applyAlignment="1" applyProtection="1">
      <alignment horizontal="left"/>
      <protection locked="0"/>
    </xf>
    <xf numFmtId="0" fontId="17" fillId="2" borderId="2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66"/>
      <color rgb="FFCCECFF"/>
      <color rgb="FFCCFFFF"/>
      <color rgb="FFCCFF99"/>
      <color rgb="FFD9FFFF"/>
      <color rgb="FF66FFFF"/>
      <color rgb="FFCCFF66"/>
      <color rgb="FF99C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loud/sites/FacilitiesPlanning/Planning/Planning%20Hubs/North/Playing%20Pitch%20Strategies/Liverpool/Final%20PPS%202013/Liverpool%20SE%20TLPF%20database%20v10%20-%2015th%20February%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ver"/>
      <sheetName val="Start"/>
      <sheetName val="DropDowns"/>
      <sheetName val="Step 4 (Sites)"/>
      <sheetName val="Step 4 (lapsed Sites)"/>
      <sheetName val="Step 4&amp;6 (Pitches)"/>
      <sheetName val="Step 5 (Clubs)"/>
      <sheetName val="Step 5 (Teams)"/>
      <sheetName val="Step 5 (Displaced)"/>
      <sheetName val="Step 5 (Education Demand)"/>
      <sheetName val="Step 5 (Education Supply)"/>
      <sheetName val="Step 5 (TGR's)"/>
      <sheetName val="Step 7 (Current Picture)"/>
      <sheetName val="Step 8 (Scenarios)"/>
    </sheetNames>
    <sheetDataSet>
      <sheetData sheetId="0" refreshError="1"/>
      <sheetData sheetId="1" refreshError="1"/>
      <sheetData sheetId="2">
        <row r="30">
          <cell r="A30" t="str">
            <v>ALL ANALYSIS AREAS</v>
          </cell>
          <cell r="B30">
            <v>110203</v>
          </cell>
          <cell r="C30">
            <v>101536</v>
          </cell>
          <cell r="D30">
            <v>104708</v>
          </cell>
          <cell r="E30">
            <v>134216</v>
          </cell>
          <cell r="F30">
            <v>106488</v>
          </cell>
          <cell r="G30">
            <v>97865</v>
          </cell>
          <cell r="H30">
            <v>101166</v>
          </cell>
          <cell r="I30">
            <v>132372</v>
          </cell>
          <cell r="J30">
            <v>14877</v>
          </cell>
          <cell r="K30">
            <v>16502</v>
          </cell>
          <cell r="L30">
            <v>13330</v>
          </cell>
          <cell r="M30">
            <v>26990</v>
          </cell>
          <cell r="N30">
            <v>12591</v>
          </cell>
          <cell r="O30">
            <v>14464</v>
          </cell>
          <cell r="P30">
            <v>16170</v>
          </cell>
          <cell r="Q30">
            <v>12869</v>
          </cell>
          <cell r="R30">
            <v>26304</v>
          </cell>
          <cell r="S30">
            <v>12276</v>
          </cell>
          <cell r="T30">
            <v>17621</v>
          </cell>
          <cell r="U30">
            <v>27095</v>
          </cell>
          <cell r="V30">
            <v>22692</v>
          </cell>
        </row>
        <row r="31">
          <cell r="A31" t="str">
            <v>Liverpool North</v>
          </cell>
        </row>
        <row r="32">
          <cell r="A32" t="str">
            <v>Liverpool City Centre</v>
          </cell>
        </row>
        <row r="33">
          <cell r="A33" t="str">
            <v>Liverpool South</v>
          </cell>
        </row>
        <row r="34">
          <cell r="A34" t="str">
            <v>Ignore this row</v>
          </cell>
        </row>
        <row r="35">
          <cell r="A35" t="str">
            <v>Ignore this row</v>
          </cell>
        </row>
        <row r="36">
          <cell r="A36" t="str">
            <v>Ignore this row</v>
          </cell>
        </row>
        <row r="37">
          <cell r="A37" t="str">
            <v>Ignore this row</v>
          </cell>
        </row>
        <row r="38">
          <cell r="A38" t="str">
            <v>Ignore this row</v>
          </cell>
        </row>
        <row r="39">
          <cell r="A39" t="str">
            <v>Ignore this row</v>
          </cell>
        </row>
        <row r="40">
          <cell r="A40" t="str">
            <v>Ignore this row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uidance/community-infrastructure-levy" TargetMode="External"/><Relationship Id="rId1" Type="http://schemas.openxmlformats.org/officeDocument/2006/relationships/hyperlink" Target="https://www.sportengland.org/facilities-planning/tools-guidance/design-and-cost-guidance/cost-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s://www.sportengland.org/facilities-planning/tools-guidance/design-and-cost-guidance/cos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s://www.sportengland.org/facilities-planning/tools-guidance/design-and-cost-guidance/cost-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S214"/>
  <sheetViews>
    <sheetView zoomScaleNormal="100" zoomScaleSheetLayoutView="100" workbookViewId="0">
      <selection activeCell="C6" sqref="C6:E6"/>
    </sheetView>
  </sheetViews>
  <sheetFormatPr defaultRowHeight="12.75" x14ac:dyDescent="0.2"/>
  <cols>
    <col min="1" max="1" width="9.140625" style="157"/>
    <col min="2" max="2" width="2.5703125" style="158" customWidth="1"/>
    <col min="3" max="3" width="43.85546875" style="158" customWidth="1"/>
    <col min="4" max="4" width="20.5703125" style="157" customWidth="1"/>
    <col min="5" max="5" width="128.140625" style="157" customWidth="1"/>
    <col min="6" max="6" width="2.42578125" style="157" customWidth="1"/>
    <col min="7" max="45" width="9.140625" style="157"/>
    <col min="46" max="16384" width="9.140625" style="158"/>
  </cols>
  <sheetData>
    <row r="1" spans="2:6" s="157" customFormat="1" ht="25.5" customHeight="1" x14ac:dyDescent="0.2"/>
    <row r="2" spans="2:6" ht="10.5" customHeight="1" x14ac:dyDescent="0.2">
      <c r="D2" s="158"/>
      <c r="E2" s="158"/>
      <c r="F2" s="169"/>
    </row>
    <row r="3" spans="2:6" ht="23.25" customHeight="1" x14ac:dyDescent="0.2">
      <c r="B3" s="175"/>
      <c r="C3" s="191" t="s">
        <v>571</v>
      </c>
      <c r="D3" s="192"/>
      <c r="E3" s="192"/>
      <c r="F3" s="169"/>
    </row>
    <row r="4" spans="2:6" ht="15" x14ac:dyDescent="0.2">
      <c r="B4" s="175"/>
      <c r="C4" s="171"/>
      <c r="D4" s="175"/>
      <c r="E4" s="175"/>
      <c r="F4" s="169"/>
    </row>
    <row r="5" spans="2:6" s="157" customFormat="1" ht="30" x14ac:dyDescent="0.2">
      <c r="B5" s="176"/>
      <c r="C5" s="177" t="s">
        <v>498</v>
      </c>
      <c r="D5" s="180" t="s">
        <v>572</v>
      </c>
      <c r="E5" s="177" t="s">
        <v>500</v>
      </c>
      <c r="F5" s="169"/>
    </row>
    <row r="6" spans="2:6" s="157" customFormat="1" ht="46.5" customHeight="1" x14ac:dyDescent="0.2">
      <c r="B6" s="176"/>
      <c r="C6" s="196" t="s">
        <v>549</v>
      </c>
      <c r="D6" s="197"/>
      <c r="E6" s="197"/>
      <c r="F6" s="169"/>
    </row>
    <row r="7" spans="2:6" s="157" customFormat="1" ht="60.75" customHeight="1" x14ac:dyDescent="0.2">
      <c r="B7" s="176"/>
      <c r="C7" s="194" t="s">
        <v>553</v>
      </c>
      <c r="D7" s="194"/>
      <c r="E7" s="194"/>
      <c r="F7" s="169"/>
    </row>
    <row r="8" spans="2:6" s="157" customFormat="1" ht="7.5" customHeight="1" x14ac:dyDescent="0.2">
      <c r="B8" s="176"/>
      <c r="C8" s="193" t="s">
        <v>546</v>
      </c>
      <c r="D8" s="193"/>
      <c r="E8" s="193"/>
      <c r="F8" s="169"/>
    </row>
    <row r="9" spans="2:6" s="157" customFormat="1" ht="15" x14ac:dyDescent="0.2">
      <c r="B9" s="176"/>
      <c r="C9" s="193" t="s">
        <v>548</v>
      </c>
      <c r="D9" s="193"/>
      <c r="E9" s="193"/>
      <c r="F9" s="169"/>
    </row>
    <row r="10" spans="2:6" s="157" customFormat="1" ht="15.75" customHeight="1" x14ac:dyDescent="0.2">
      <c r="B10" s="176"/>
      <c r="C10" s="193" t="s">
        <v>554</v>
      </c>
      <c r="D10" s="193"/>
      <c r="E10" s="193"/>
      <c r="F10" s="169"/>
    </row>
    <row r="11" spans="2:6" s="157" customFormat="1" ht="44.25" customHeight="1" x14ac:dyDescent="0.2">
      <c r="B11" s="176"/>
      <c r="C11" s="193" t="s">
        <v>504</v>
      </c>
      <c r="D11" s="193"/>
      <c r="E11" s="193"/>
      <c r="F11" s="169"/>
    </row>
    <row r="12" spans="2:6" s="157" customFormat="1" ht="38.25" customHeight="1" x14ac:dyDescent="0.2">
      <c r="B12" s="176"/>
      <c r="C12" s="193" t="s">
        <v>555</v>
      </c>
      <c r="D12" s="193"/>
      <c r="E12" s="193"/>
      <c r="F12" s="169"/>
    </row>
    <row r="13" spans="2:6" s="157" customFormat="1" ht="39.75" customHeight="1" x14ac:dyDescent="0.2">
      <c r="B13" s="176"/>
      <c r="C13" s="193" t="s">
        <v>550</v>
      </c>
      <c r="D13" s="197"/>
      <c r="E13" s="197"/>
      <c r="F13" s="169"/>
    </row>
    <row r="14" spans="2:6" s="157" customFormat="1" ht="28.5" customHeight="1" x14ac:dyDescent="0.2">
      <c r="B14" s="176"/>
      <c r="C14" s="193" t="s">
        <v>547</v>
      </c>
      <c r="D14" s="197"/>
      <c r="E14" s="197"/>
      <c r="F14" s="169"/>
    </row>
    <row r="15" spans="2:6" s="157" customFormat="1" ht="13.5" customHeight="1" x14ac:dyDescent="0.2">
      <c r="B15" s="178"/>
      <c r="C15" s="178"/>
      <c r="D15" s="178"/>
      <c r="E15" s="179"/>
    </row>
    <row r="16" spans="2:6" s="157" customFormat="1" ht="46.5" customHeight="1" x14ac:dyDescent="0.2">
      <c r="B16" s="195" t="s">
        <v>570</v>
      </c>
      <c r="C16" s="195"/>
      <c r="D16" s="195"/>
      <c r="E16" s="195"/>
      <c r="F16" s="169"/>
    </row>
    <row r="17" s="157" customFormat="1" x14ac:dyDescent="0.2"/>
    <row r="18" s="157" customFormat="1" x14ac:dyDescent="0.2"/>
    <row r="19" s="157" customFormat="1" x14ac:dyDescent="0.2"/>
    <row r="20" s="157" customFormat="1" x14ac:dyDescent="0.2"/>
    <row r="21" s="157" customFormat="1" x14ac:dyDescent="0.2"/>
    <row r="22" s="157" customFormat="1" x14ac:dyDescent="0.2"/>
    <row r="23" s="157" customFormat="1" x14ac:dyDescent="0.2"/>
    <row r="24" s="157" customFormat="1" x14ac:dyDescent="0.2"/>
    <row r="25" s="157" customFormat="1" x14ac:dyDescent="0.2"/>
    <row r="26" s="157" customFormat="1" x14ac:dyDescent="0.2"/>
    <row r="27" s="157" customFormat="1" x14ac:dyDescent="0.2"/>
    <row r="28" s="157" customFormat="1" x14ac:dyDescent="0.2"/>
    <row r="29" s="157" customFormat="1" x14ac:dyDescent="0.2"/>
    <row r="30" s="157" customFormat="1" x14ac:dyDescent="0.2"/>
    <row r="31" s="157" customFormat="1" x14ac:dyDescent="0.2"/>
    <row r="32" s="157" customFormat="1" x14ac:dyDescent="0.2"/>
    <row r="33" s="157" customFormat="1" x14ac:dyDescent="0.2"/>
    <row r="34" s="157" customFormat="1" x14ac:dyDescent="0.2"/>
    <row r="35" s="157" customFormat="1" x14ac:dyDescent="0.2"/>
    <row r="36" s="157" customFormat="1" x14ac:dyDescent="0.2"/>
    <row r="37" s="157" customFormat="1" x14ac:dyDescent="0.2"/>
    <row r="38" s="157" customFormat="1" x14ac:dyDescent="0.2"/>
    <row r="39" s="157" customFormat="1" x14ac:dyDescent="0.2"/>
    <row r="40" s="157" customFormat="1" x14ac:dyDescent="0.2"/>
    <row r="41" s="157" customFormat="1" x14ac:dyDescent="0.2"/>
    <row r="42" s="157" customFormat="1" x14ac:dyDescent="0.2"/>
    <row r="43" s="157" customFormat="1" x14ac:dyDescent="0.2"/>
    <row r="44" s="157" customFormat="1" x14ac:dyDescent="0.2"/>
    <row r="45" s="157" customFormat="1" x14ac:dyDescent="0.2"/>
    <row r="46" s="157" customFormat="1" x14ac:dyDescent="0.2"/>
    <row r="47" s="157" customFormat="1" x14ac:dyDescent="0.2"/>
    <row r="48" s="157" customFormat="1" x14ac:dyDescent="0.2"/>
    <row r="49" s="157" customFormat="1" x14ac:dyDescent="0.2"/>
    <row r="50" s="157" customFormat="1" x14ac:dyDescent="0.2"/>
    <row r="51" s="157" customFormat="1" x14ac:dyDescent="0.2"/>
    <row r="52" s="157" customFormat="1" x14ac:dyDescent="0.2"/>
    <row r="53" s="157" customFormat="1" x14ac:dyDescent="0.2"/>
    <row r="54" s="157" customFormat="1" x14ac:dyDescent="0.2"/>
    <row r="55" s="157" customFormat="1" x14ac:dyDescent="0.2"/>
    <row r="56" s="157" customFormat="1" x14ac:dyDescent="0.2"/>
    <row r="57" s="157" customFormat="1" x14ac:dyDescent="0.2"/>
    <row r="58" s="157" customFormat="1" x14ac:dyDescent="0.2"/>
    <row r="59" s="157" customFormat="1" x14ac:dyDescent="0.2"/>
    <row r="60" s="157" customFormat="1" x14ac:dyDescent="0.2"/>
    <row r="61" s="157" customFormat="1" x14ac:dyDescent="0.2"/>
    <row r="62" s="157" customFormat="1" x14ac:dyDescent="0.2"/>
    <row r="63" s="157" customFormat="1" x14ac:dyDescent="0.2"/>
    <row r="64" s="157" customFormat="1" x14ac:dyDescent="0.2"/>
    <row r="65" s="157" customFormat="1" x14ac:dyDescent="0.2"/>
    <row r="66" s="157" customFormat="1" x14ac:dyDescent="0.2"/>
    <row r="67" s="157" customFormat="1" x14ac:dyDescent="0.2"/>
    <row r="68" s="157" customFormat="1" x14ac:dyDescent="0.2"/>
    <row r="69" s="157" customFormat="1" x14ac:dyDescent="0.2"/>
    <row r="70" s="157" customFormat="1" x14ac:dyDescent="0.2"/>
    <row r="71" s="157" customFormat="1" x14ac:dyDescent="0.2"/>
    <row r="72" s="157" customFormat="1" x14ac:dyDescent="0.2"/>
    <row r="73" s="157" customFormat="1" x14ac:dyDescent="0.2"/>
    <row r="74" s="157" customFormat="1" x14ac:dyDescent="0.2"/>
    <row r="75" s="157" customFormat="1" x14ac:dyDescent="0.2"/>
    <row r="76" s="157" customFormat="1" x14ac:dyDescent="0.2"/>
    <row r="77" s="157" customFormat="1" x14ac:dyDescent="0.2"/>
    <row r="78" s="157" customFormat="1" x14ac:dyDescent="0.2"/>
    <row r="79" s="157" customFormat="1" x14ac:dyDescent="0.2"/>
    <row r="80" s="157" customFormat="1" x14ac:dyDescent="0.2"/>
    <row r="81" s="157" customFormat="1" x14ac:dyDescent="0.2"/>
    <row r="82" s="157" customFormat="1" x14ac:dyDescent="0.2"/>
    <row r="83" s="157" customFormat="1" x14ac:dyDescent="0.2"/>
    <row r="84" s="157" customFormat="1" x14ac:dyDescent="0.2"/>
    <row r="85" s="157" customFormat="1" x14ac:dyDescent="0.2"/>
    <row r="86" s="157" customFormat="1" x14ac:dyDescent="0.2"/>
    <row r="87" s="157" customFormat="1" x14ac:dyDescent="0.2"/>
    <row r="88" s="157" customFormat="1" x14ac:dyDescent="0.2"/>
    <row r="89" s="157" customFormat="1" x14ac:dyDescent="0.2"/>
    <row r="90" s="157" customFormat="1" x14ac:dyDescent="0.2"/>
    <row r="91" s="157" customFormat="1" x14ac:dyDescent="0.2"/>
    <row r="92" s="157" customFormat="1" x14ac:dyDescent="0.2"/>
    <row r="93" s="157" customFormat="1" x14ac:dyDescent="0.2"/>
    <row r="94" s="157" customFormat="1" x14ac:dyDescent="0.2"/>
    <row r="95" s="157" customFormat="1" x14ac:dyDescent="0.2"/>
    <row r="96" s="157" customFormat="1" x14ac:dyDescent="0.2"/>
    <row r="97" s="157" customFormat="1" x14ac:dyDescent="0.2"/>
    <row r="98" s="157" customFormat="1" x14ac:dyDescent="0.2"/>
    <row r="99" s="157" customFormat="1" x14ac:dyDescent="0.2"/>
    <row r="100" s="157" customFormat="1" x14ac:dyDescent="0.2"/>
    <row r="101" s="157" customFormat="1" x14ac:dyDescent="0.2"/>
    <row r="102" s="157" customFormat="1" x14ac:dyDescent="0.2"/>
    <row r="103" s="157" customFormat="1" x14ac:dyDescent="0.2"/>
    <row r="104" s="157" customFormat="1" x14ac:dyDescent="0.2"/>
    <row r="105" s="157" customFormat="1" x14ac:dyDescent="0.2"/>
    <row r="106" s="157" customFormat="1" x14ac:dyDescent="0.2"/>
    <row r="107" s="157" customFormat="1" x14ac:dyDescent="0.2"/>
    <row r="108" s="157" customFormat="1" x14ac:dyDescent="0.2"/>
    <row r="109" s="157" customFormat="1" x14ac:dyDescent="0.2"/>
    <row r="110" s="157" customFormat="1" x14ac:dyDescent="0.2"/>
    <row r="111" s="157" customFormat="1" x14ac:dyDescent="0.2"/>
    <row r="112" s="157" customFormat="1" x14ac:dyDescent="0.2"/>
    <row r="113" s="157" customFormat="1" x14ac:dyDescent="0.2"/>
    <row r="114" s="157" customFormat="1" x14ac:dyDescent="0.2"/>
    <row r="115" s="157" customFormat="1" x14ac:dyDescent="0.2"/>
    <row r="116" s="157" customFormat="1" x14ac:dyDescent="0.2"/>
    <row r="117" s="157" customFormat="1" x14ac:dyDescent="0.2"/>
    <row r="118" s="157" customFormat="1" x14ac:dyDescent="0.2"/>
    <row r="119" s="157" customFormat="1" x14ac:dyDescent="0.2"/>
    <row r="120" s="157" customFormat="1" x14ac:dyDescent="0.2"/>
    <row r="121" s="157" customFormat="1" x14ac:dyDescent="0.2"/>
    <row r="122" s="157" customFormat="1" x14ac:dyDescent="0.2"/>
    <row r="123" s="157" customFormat="1" x14ac:dyDescent="0.2"/>
    <row r="124" s="157" customFormat="1" x14ac:dyDescent="0.2"/>
    <row r="125" s="157" customFormat="1" x14ac:dyDescent="0.2"/>
    <row r="126" s="157" customFormat="1" x14ac:dyDescent="0.2"/>
    <row r="127" s="157" customFormat="1" x14ac:dyDescent="0.2"/>
    <row r="128" s="157" customFormat="1" x14ac:dyDescent="0.2"/>
    <row r="129" s="157" customFormat="1" x14ac:dyDescent="0.2"/>
    <row r="130" s="157" customFormat="1" x14ac:dyDescent="0.2"/>
    <row r="131" s="157" customFormat="1" x14ac:dyDescent="0.2"/>
    <row r="132" s="157" customFormat="1" x14ac:dyDescent="0.2"/>
    <row r="133" s="157" customFormat="1" x14ac:dyDescent="0.2"/>
    <row r="134" s="157" customFormat="1" x14ac:dyDescent="0.2"/>
    <row r="135" s="157" customFormat="1" x14ac:dyDescent="0.2"/>
    <row r="136" s="157" customFormat="1" x14ac:dyDescent="0.2"/>
    <row r="137" s="157" customFormat="1" x14ac:dyDescent="0.2"/>
    <row r="138" s="157" customFormat="1" x14ac:dyDescent="0.2"/>
    <row r="139" s="157" customFormat="1" x14ac:dyDescent="0.2"/>
    <row r="140" s="157" customFormat="1" x14ac:dyDescent="0.2"/>
    <row r="141" s="157" customFormat="1" x14ac:dyDescent="0.2"/>
    <row r="142" s="157" customFormat="1" x14ac:dyDescent="0.2"/>
    <row r="143" s="157" customFormat="1" x14ac:dyDescent="0.2"/>
    <row r="144" s="157" customFormat="1" x14ac:dyDescent="0.2"/>
    <row r="145" s="157" customFormat="1" x14ac:dyDescent="0.2"/>
    <row r="146" s="157" customFormat="1" x14ac:dyDescent="0.2"/>
    <row r="147" s="157" customFormat="1" x14ac:dyDescent="0.2"/>
    <row r="148" s="157" customFormat="1" x14ac:dyDescent="0.2"/>
    <row r="149" s="157" customFormat="1" x14ac:dyDescent="0.2"/>
    <row r="150" s="157" customFormat="1" x14ac:dyDescent="0.2"/>
    <row r="151" s="157" customFormat="1" x14ac:dyDescent="0.2"/>
    <row r="152" s="157" customFormat="1" x14ac:dyDescent="0.2"/>
    <row r="153" s="157" customFormat="1" x14ac:dyDescent="0.2"/>
    <row r="154" s="157" customFormat="1" x14ac:dyDescent="0.2"/>
    <row r="155" s="157" customFormat="1" x14ac:dyDescent="0.2"/>
    <row r="156" s="157" customFormat="1" x14ac:dyDescent="0.2"/>
    <row r="157" s="157" customFormat="1" x14ac:dyDescent="0.2"/>
    <row r="158" s="157" customFormat="1" x14ac:dyDescent="0.2"/>
    <row r="159" s="157" customFormat="1" x14ac:dyDescent="0.2"/>
    <row r="160" s="157" customFormat="1" x14ac:dyDescent="0.2"/>
    <row r="161" s="157" customFormat="1" x14ac:dyDescent="0.2"/>
    <row r="162" s="157" customFormat="1" x14ac:dyDescent="0.2"/>
    <row r="163" s="157" customFormat="1" x14ac:dyDescent="0.2"/>
    <row r="164" s="157" customFormat="1" x14ac:dyDescent="0.2"/>
    <row r="165" s="157" customFormat="1" x14ac:dyDescent="0.2"/>
    <row r="166" s="157" customFormat="1" x14ac:dyDescent="0.2"/>
    <row r="167" s="157" customFormat="1" x14ac:dyDescent="0.2"/>
    <row r="168" s="157" customFormat="1" x14ac:dyDescent="0.2"/>
    <row r="169" s="157" customFormat="1" x14ac:dyDescent="0.2"/>
    <row r="170" s="157" customFormat="1" x14ac:dyDescent="0.2"/>
    <row r="171" s="157" customFormat="1" x14ac:dyDescent="0.2"/>
    <row r="172" s="157" customFormat="1" x14ac:dyDescent="0.2"/>
    <row r="173" s="157" customFormat="1" x14ac:dyDescent="0.2"/>
    <row r="174" s="157" customFormat="1" x14ac:dyDescent="0.2"/>
    <row r="175" s="157" customFormat="1" x14ac:dyDescent="0.2"/>
    <row r="176" s="157" customFormat="1" x14ac:dyDescent="0.2"/>
    <row r="177" s="157" customFormat="1" x14ac:dyDescent="0.2"/>
    <row r="178" s="157" customFormat="1" x14ac:dyDescent="0.2"/>
    <row r="179" s="157" customFormat="1" x14ac:dyDescent="0.2"/>
    <row r="180" s="157" customFormat="1" x14ac:dyDescent="0.2"/>
    <row r="181" s="157" customFormat="1" x14ac:dyDescent="0.2"/>
    <row r="182" s="157" customFormat="1" x14ac:dyDescent="0.2"/>
    <row r="183" s="157" customFormat="1" x14ac:dyDescent="0.2"/>
    <row r="184" s="157" customFormat="1" x14ac:dyDescent="0.2"/>
    <row r="185" s="157" customFormat="1" x14ac:dyDescent="0.2"/>
    <row r="186" s="157" customFormat="1" x14ac:dyDescent="0.2"/>
    <row r="187" s="157" customFormat="1" x14ac:dyDescent="0.2"/>
    <row r="188" s="157" customFormat="1" x14ac:dyDescent="0.2"/>
    <row r="189" s="157" customFormat="1" x14ac:dyDescent="0.2"/>
    <row r="190" s="157" customFormat="1" x14ac:dyDescent="0.2"/>
    <row r="191" s="157" customFormat="1" x14ac:dyDescent="0.2"/>
    <row r="192" s="157" customFormat="1" x14ac:dyDescent="0.2"/>
    <row r="193" s="157" customFormat="1" x14ac:dyDescent="0.2"/>
    <row r="194" s="157" customFormat="1" x14ac:dyDescent="0.2"/>
    <row r="195" s="157" customFormat="1" x14ac:dyDescent="0.2"/>
    <row r="196" s="157" customFormat="1" x14ac:dyDescent="0.2"/>
    <row r="197" s="157" customFormat="1" x14ac:dyDescent="0.2"/>
    <row r="198" s="157" customFormat="1" x14ac:dyDescent="0.2"/>
    <row r="199" s="157" customFormat="1" x14ac:dyDescent="0.2"/>
    <row r="200" s="157" customFormat="1" x14ac:dyDescent="0.2"/>
    <row r="201" s="157" customFormat="1" x14ac:dyDescent="0.2"/>
    <row r="202" s="157" customFormat="1" x14ac:dyDescent="0.2"/>
    <row r="203" s="157" customFormat="1" x14ac:dyDescent="0.2"/>
    <row r="204" s="157" customFormat="1" x14ac:dyDescent="0.2"/>
    <row r="205" s="157" customFormat="1" x14ac:dyDescent="0.2"/>
    <row r="206" s="157" customFormat="1" x14ac:dyDescent="0.2"/>
    <row r="207" s="157" customFormat="1" x14ac:dyDescent="0.2"/>
    <row r="208" s="157" customFormat="1" x14ac:dyDescent="0.2"/>
    <row r="209" s="157" customFormat="1" x14ac:dyDescent="0.2"/>
    <row r="210" s="157" customFormat="1" x14ac:dyDescent="0.2"/>
    <row r="211" s="157" customFormat="1" x14ac:dyDescent="0.2"/>
    <row r="212" s="157" customFormat="1" x14ac:dyDescent="0.2"/>
    <row r="213" s="157" customFormat="1" x14ac:dyDescent="0.2"/>
    <row r="214" s="157" customFormat="1" x14ac:dyDescent="0.2"/>
  </sheetData>
  <sheetProtection algorithmName="SHA-512" hashValue="lgt3Z6SQPSKzzmV8Y7LIf8l6ICm/2CEiQXFFUB2y3cJTP5+ThE5G67MqW2WTw76LNqMS2AEDEPWsYIGMaN3cEg==" saltValue="sHh7HwudBBRWmCoyLXMyrA==" spinCount="100000" sheet="1" objects="1" scenarios="1"/>
  <mergeCells count="11">
    <mergeCell ref="C12:E12"/>
    <mergeCell ref="B16:E16"/>
    <mergeCell ref="C6:E6"/>
    <mergeCell ref="C9:E9"/>
    <mergeCell ref="C14:E14"/>
    <mergeCell ref="C13:E13"/>
    <mergeCell ref="C3:E3"/>
    <mergeCell ref="C11:E11"/>
    <mergeCell ref="C7:E7"/>
    <mergeCell ref="C8:E8"/>
    <mergeCell ref="C10:E10"/>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W429"/>
  <sheetViews>
    <sheetView topLeftCell="B1" zoomScaleNormal="100" zoomScaleSheetLayoutView="80" workbookViewId="0">
      <selection activeCell="D14" sqref="D14"/>
    </sheetView>
  </sheetViews>
  <sheetFormatPr defaultRowHeight="15" x14ac:dyDescent="0.2"/>
  <cols>
    <col min="1" max="1" width="9.42578125" style="17" customWidth="1"/>
    <col min="2" max="2" width="2.7109375" style="8" customWidth="1"/>
    <col min="3" max="3" width="116" style="8" customWidth="1"/>
    <col min="4" max="4" width="49.42578125" style="8" customWidth="1"/>
    <col min="5" max="5" width="4.42578125" style="14" customWidth="1"/>
    <col min="6" max="6" width="23.85546875" style="8" customWidth="1"/>
    <col min="7" max="7" width="14.140625" style="8" customWidth="1"/>
    <col min="8" max="8" width="36.85546875" style="8" customWidth="1"/>
    <col min="9" max="9" width="14.140625" style="8" customWidth="1"/>
    <col min="10" max="10" width="1.5703125" style="8" customWidth="1"/>
    <col min="11" max="11" width="5" style="8" customWidth="1"/>
    <col min="12" max="49" width="8.85546875" style="17" customWidth="1"/>
    <col min="50" max="50" width="8.85546875" style="8" customWidth="1"/>
    <col min="51" max="16384" width="9.140625" style="8"/>
  </cols>
  <sheetData>
    <row r="1" spans="1:49" s="17" customFormat="1" ht="32.25" customHeight="1" x14ac:dyDescent="0.2"/>
    <row r="2" spans="1:49" s="14" customFormat="1" ht="10.5" customHeight="1" x14ac:dyDescent="0.2">
      <c r="A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1:49" ht="21" x14ac:dyDescent="0.2">
      <c r="C3" s="198" t="s">
        <v>535</v>
      </c>
      <c r="D3" s="199"/>
      <c r="E3" s="16"/>
      <c r="F3" s="32"/>
      <c r="G3" s="32"/>
      <c r="H3" s="32"/>
      <c r="I3" s="17"/>
      <c r="J3" s="17"/>
      <c r="K3" s="17"/>
    </row>
    <row r="4" spans="1:49" ht="12.75" customHeight="1" x14ac:dyDescent="0.2">
      <c r="F4" s="17"/>
      <c r="G4" s="17"/>
      <c r="H4" s="17"/>
      <c r="I4" s="17"/>
      <c r="J4" s="17"/>
      <c r="K4" s="17"/>
    </row>
    <row r="5" spans="1:49" s="14" customFormat="1" ht="30.75" customHeight="1" x14ac:dyDescent="0.2">
      <c r="A5" s="17"/>
      <c r="C5" s="202" t="s">
        <v>501</v>
      </c>
      <c r="D5" s="202"/>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49" s="14" customFormat="1" ht="17.25" customHeight="1" x14ac:dyDescent="0.2">
      <c r="A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1:49" s="1" customFormat="1" ht="15.75" x14ac:dyDescent="0.2">
      <c r="A7" s="18"/>
      <c r="C7" s="31" t="s">
        <v>479</v>
      </c>
      <c r="D7" s="31"/>
      <c r="E7" s="31"/>
      <c r="F7" s="33"/>
      <c r="G7" s="33"/>
      <c r="H7" s="33"/>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s="1" customFormat="1" ht="7.5" customHeight="1" x14ac:dyDescent="0.2">
      <c r="A8" s="18"/>
      <c r="C8" s="31"/>
      <c r="D8" s="31"/>
      <c r="E8" s="31"/>
      <c r="F8" s="33"/>
      <c r="G8" s="33"/>
      <c r="H8" s="33"/>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1:49" x14ac:dyDescent="0.2">
      <c r="C9" s="14" t="s">
        <v>473</v>
      </c>
      <c r="D9" s="181" t="s">
        <v>341</v>
      </c>
      <c r="E9" s="22"/>
      <c r="F9" s="17"/>
      <c r="G9" s="211"/>
      <c r="H9" s="212"/>
      <c r="I9" s="17"/>
      <c r="J9" s="17"/>
      <c r="K9" s="17"/>
    </row>
    <row r="10" spans="1:49" x14ac:dyDescent="0.2">
      <c r="D10" s="21"/>
      <c r="E10" s="21"/>
      <c r="F10" s="17"/>
      <c r="G10" s="17"/>
      <c r="H10" s="17"/>
      <c r="I10" s="17"/>
      <c r="J10" s="17"/>
      <c r="K10" s="17"/>
    </row>
    <row r="11" spans="1:49" s="14" customFormat="1" x14ac:dyDescent="0.2">
      <c r="A11" s="17"/>
      <c r="C11" s="167" t="s">
        <v>474</v>
      </c>
      <c r="D11" s="41">
        <v>141770</v>
      </c>
      <c r="E11" s="23"/>
      <c r="F11" s="3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1:49" s="14" customFormat="1" x14ac:dyDescent="0.2">
      <c r="A12" s="17"/>
      <c r="D12" s="42"/>
      <c r="E12" s="23"/>
      <c r="F12" s="3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x14ac:dyDescent="0.2">
      <c r="C13" s="14" t="s">
        <v>475</v>
      </c>
      <c r="D13" s="182">
        <v>25581</v>
      </c>
      <c r="E13" s="29"/>
      <c r="F13" s="17"/>
      <c r="G13" s="17"/>
      <c r="H13" s="17"/>
      <c r="I13" s="20"/>
      <c r="J13" s="17"/>
      <c r="K13" s="19"/>
      <c r="M13" s="20"/>
    </row>
    <row r="14" spans="1:49" x14ac:dyDescent="0.2">
      <c r="C14" s="24"/>
      <c r="D14" s="14"/>
      <c r="F14" s="35"/>
      <c r="G14" s="36"/>
      <c r="H14" s="17"/>
      <c r="I14" s="17"/>
      <c r="J14" s="17"/>
      <c r="K14" s="17"/>
    </row>
    <row r="15" spans="1:49" s="14" customFormat="1" x14ac:dyDescent="0.2">
      <c r="A15" s="17"/>
      <c r="C15" s="203" t="s">
        <v>497</v>
      </c>
      <c r="D15" s="204"/>
      <c r="E15" s="30"/>
      <c r="F15" s="35"/>
      <c r="G15" s="36"/>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s="14" customFormat="1" ht="8.25" customHeight="1" x14ac:dyDescent="0.2">
      <c r="A16" s="17"/>
      <c r="C16" s="24"/>
      <c r="F16" s="35"/>
      <c r="G16" s="3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1:49" ht="18" customHeight="1" x14ac:dyDescent="0.2">
      <c r="C17" s="21" t="s">
        <v>539</v>
      </c>
      <c r="D17" s="40">
        <f>SUM(Workings!O7:O8)</f>
        <v>3.0313945122381325</v>
      </c>
      <c r="E17" s="27"/>
      <c r="F17" s="17"/>
      <c r="G17" s="211"/>
      <c r="H17" s="211"/>
      <c r="I17" s="17"/>
      <c r="J17" s="17"/>
      <c r="K17" s="17"/>
    </row>
    <row r="18" spans="1:49" ht="18" customHeight="1" x14ac:dyDescent="0.2">
      <c r="C18" s="21" t="s">
        <v>542</v>
      </c>
      <c r="D18" s="40">
        <f>SUM(Workings!O9:O12)</f>
        <v>6.053767016999366</v>
      </c>
      <c r="E18" s="27"/>
      <c r="F18" s="17"/>
      <c r="G18" s="211"/>
      <c r="H18" s="211"/>
      <c r="I18" s="17"/>
      <c r="J18" s="17"/>
      <c r="K18" s="17"/>
    </row>
    <row r="19" spans="1:49" ht="18" customHeight="1" x14ac:dyDescent="0.2">
      <c r="C19" s="21" t="s">
        <v>543</v>
      </c>
      <c r="D19" s="40">
        <f>SUM(Workings!O13:O14)</f>
        <v>6.9769860678222813</v>
      </c>
      <c r="E19" s="27"/>
      <c r="F19" s="17"/>
      <c r="G19" s="211"/>
      <c r="H19" s="211"/>
      <c r="I19" s="17"/>
      <c r="J19" s="17"/>
      <c r="K19" s="17"/>
    </row>
    <row r="20" spans="1:49" ht="18" customHeight="1" x14ac:dyDescent="0.2">
      <c r="C20" s="21" t="s">
        <v>544</v>
      </c>
      <c r="D20" s="40">
        <f>SUM(Workings!O19:O23)</f>
        <v>3.9020182337589047</v>
      </c>
      <c r="E20" s="27"/>
      <c r="F20" s="17"/>
      <c r="G20" s="211"/>
      <c r="H20" s="211"/>
      <c r="I20" s="17"/>
      <c r="J20" s="17"/>
      <c r="K20" s="17"/>
    </row>
    <row r="21" spans="1:49" ht="18" customHeight="1" x14ac:dyDescent="0.2">
      <c r="C21" s="21" t="s">
        <v>538</v>
      </c>
      <c r="D21" s="40">
        <f>SUM(Workings!O24:O28)</f>
        <v>0</v>
      </c>
      <c r="E21" s="27"/>
      <c r="F21" s="17"/>
      <c r="G21" s="211"/>
      <c r="H21" s="211"/>
      <c r="I21" s="17"/>
      <c r="J21" s="17"/>
      <c r="K21" s="17"/>
    </row>
    <row r="22" spans="1:49" ht="18" customHeight="1" x14ac:dyDescent="0.2">
      <c r="C22" s="21" t="s">
        <v>477</v>
      </c>
      <c r="D22" s="40">
        <f>SUM(Workings!O29:O32)</f>
        <v>2.9772624673767369</v>
      </c>
      <c r="E22" s="27"/>
      <c r="F22" s="17"/>
      <c r="G22" s="211"/>
      <c r="H22" s="211"/>
      <c r="I22" s="17"/>
      <c r="J22" s="17"/>
      <c r="K22" s="17"/>
    </row>
    <row r="23" spans="1:49" ht="18" customHeight="1" x14ac:dyDescent="0.2">
      <c r="C23" s="21" t="s">
        <v>478</v>
      </c>
      <c r="D23" s="40">
        <f>SUM(Workings!O15:O18)</f>
        <v>159.61022268916895</v>
      </c>
      <c r="E23" s="27"/>
      <c r="F23" s="17"/>
      <c r="G23" s="211"/>
      <c r="H23" s="211"/>
      <c r="I23" s="17"/>
      <c r="J23" s="17"/>
      <c r="K23" s="17"/>
    </row>
    <row r="24" spans="1:49" x14ac:dyDescent="0.2">
      <c r="C24" s="28"/>
      <c r="D24" s="28"/>
      <c r="E24" s="28"/>
      <c r="F24" s="35"/>
      <c r="G24" s="17"/>
      <c r="H24" s="17"/>
      <c r="I24" s="17"/>
      <c r="J24" s="17"/>
      <c r="K24" s="17"/>
    </row>
    <row r="25" spans="1:49" s="14" customFormat="1" ht="14.25" customHeight="1" x14ac:dyDescent="0.2">
      <c r="A25" s="17"/>
      <c r="C25" s="207" t="s">
        <v>556</v>
      </c>
      <c r="D25" s="208"/>
      <c r="E25" s="28"/>
      <c r="F25" s="35"/>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row>
    <row r="26" spans="1:49" s="14" customFormat="1" ht="9" customHeight="1" x14ac:dyDescent="0.2">
      <c r="A26" s="17"/>
      <c r="C26" s="31"/>
      <c r="D26" s="28"/>
      <c r="E26" s="28"/>
      <c r="F26" s="35"/>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row>
    <row r="27" spans="1:49" s="14" customFormat="1" ht="17.25" customHeight="1" x14ac:dyDescent="0.2">
      <c r="A27" s="17"/>
      <c r="C27" s="205" t="s">
        <v>480</v>
      </c>
      <c r="D27" s="206"/>
      <c r="E27" s="28"/>
      <c r="F27" s="35"/>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row>
    <row r="28" spans="1:49" s="14" customFormat="1" ht="17.25" customHeight="1" x14ac:dyDescent="0.2">
      <c r="A28" s="17"/>
      <c r="C28" s="205" t="s">
        <v>481</v>
      </c>
      <c r="D28" s="206"/>
      <c r="E28" s="28"/>
      <c r="F28" s="35"/>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row>
    <row r="29" spans="1:49" s="14" customFormat="1" x14ac:dyDescent="0.2">
      <c r="A29" s="17"/>
      <c r="C29" s="205" t="s">
        <v>482</v>
      </c>
      <c r="D29" s="206"/>
      <c r="E29" s="28"/>
      <c r="F29" s="35"/>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row>
    <row r="30" spans="1:49" s="14" customFormat="1" x14ac:dyDescent="0.2">
      <c r="A30" s="17"/>
      <c r="C30" s="205" t="s">
        <v>502</v>
      </c>
      <c r="D30" s="210"/>
      <c r="E30" s="28"/>
      <c r="F30" s="35"/>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row>
    <row r="31" spans="1:49" s="14" customFormat="1" x14ac:dyDescent="0.2">
      <c r="A31" s="17"/>
      <c r="C31" s="205" t="s">
        <v>557</v>
      </c>
      <c r="D31" s="210"/>
      <c r="E31" s="28"/>
      <c r="F31" s="35"/>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row>
    <row r="32" spans="1:49" s="14" customFormat="1" x14ac:dyDescent="0.2">
      <c r="A32" s="17"/>
      <c r="C32" s="162" t="s">
        <v>483</v>
      </c>
      <c r="D32" s="166"/>
      <c r="E32" s="28"/>
      <c r="F32" s="35"/>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49" s="14" customFormat="1" ht="29.25" customHeight="1" x14ac:dyDescent="0.2">
      <c r="A33" s="17"/>
      <c r="C33" s="216" t="s">
        <v>558</v>
      </c>
      <c r="D33" s="216"/>
      <c r="E33" s="28"/>
      <c r="F33" s="35"/>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49" s="162" customFormat="1" ht="12.75" customHeight="1" x14ac:dyDescent="0.2">
      <c r="A34" s="161"/>
      <c r="C34" s="145"/>
      <c r="D34" s="145"/>
      <c r="E34" s="28"/>
      <c r="F34" s="35"/>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row>
    <row r="35" spans="1:49" s="14" customFormat="1" x14ac:dyDescent="0.2">
      <c r="A35" s="17"/>
      <c r="C35" s="165" t="s">
        <v>523</v>
      </c>
      <c r="D35" s="164"/>
      <c r="E35" s="28"/>
      <c r="F35" s="35"/>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49" s="159" customFormat="1" ht="18.75" customHeight="1" x14ac:dyDescent="0.2">
      <c r="A36" s="160"/>
      <c r="C36" s="209" t="s">
        <v>545</v>
      </c>
      <c r="D36" s="210"/>
      <c r="E36" s="28"/>
      <c r="F36" s="35"/>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row>
    <row r="37" spans="1:49" s="14" customFormat="1" ht="18" customHeight="1" x14ac:dyDescent="0.2">
      <c r="A37" s="17"/>
      <c r="C37" s="205"/>
      <c r="D37" s="208"/>
      <c r="E37" s="28"/>
      <c r="F37" s="35"/>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49" s="14" customFormat="1" x14ac:dyDescent="0.2">
      <c r="A38" s="17"/>
      <c r="C38" s="207" t="s">
        <v>499</v>
      </c>
      <c r="D38" s="208"/>
      <c r="E38" s="28"/>
      <c r="F38" s="35"/>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1:49" s="14" customFormat="1" ht="8.25" customHeight="1" x14ac:dyDescent="0.2">
      <c r="A39" s="17"/>
      <c r="C39" s="207"/>
      <c r="D39" s="208"/>
      <c r="E39" s="28"/>
      <c r="F39" s="35"/>
      <c r="G39" s="12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row>
    <row r="40" spans="1:49" s="14" customFormat="1" ht="33.75" customHeight="1" x14ac:dyDescent="0.2">
      <c r="A40" s="17"/>
      <c r="C40" s="218" t="s">
        <v>503</v>
      </c>
      <c r="D40" s="219"/>
      <c r="E40" s="28"/>
      <c r="F40" s="35"/>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49" ht="27" customHeight="1" x14ac:dyDescent="0.2">
      <c r="C41" s="194" t="s">
        <v>559</v>
      </c>
      <c r="D41" s="208"/>
      <c r="E41" s="10"/>
      <c r="F41" s="35"/>
      <c r="G41" s="17"/>
      <c r="H41" s="17"/>
      <c r="I41" s="17"/>
      <c r="J41" s="17"/>
      <c r="K41" s="17"/>
    </row>
    <row r="42" spans="1:49" s="14" customFormat="1" x14ac:dyDescent="0.2">
      <c r="A42" s="17"/>
      <c r="C42" s="39"/>
      <c r="D42" s="37"/>
      <c r="E42" s="10"/>
      <c r="F42" s="9"/>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row>
    <row r="43" spans="1:49" s="14" customFormat="1" x14ac:dyDescent="0.2">
      <c r="A43" s="17"/>
      <c r="C43" s="38" t="s">
        <v>484</v>
      </c>
      <c r="D43" s="40">
        <f>Workings!Q33</f>
        <v>24.254359963261141</v>
      </c>
      <c r="E43" s="200" t="s">
        <v>485</v>
      </c>
      <c r="F43" s="220"/>
      <c r="G43" s="51">
        <f>VLOOKUP(D9,Workings!D40:G376,4,FALSE)*Workings!U33</f>
        <v>2916093.2790440805</v>
      </c>
      <c r="H43" s="25" t="s">
        <v>375</v>
      </c>
      <c r="I43" s="51">
        <f>Workings!Y33</f>
        <v>479964.84287995304</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row>
    <row r="44" spans="1:49" s="14" customFormat="1" x14ac:dyDescent="0.2">
      <c r="A44" s="17"/>
      <c r="C44" s="38"/>
      <c r="D44" s="26"/>
      <c r="E44" s="25"/>
      <c r="F44" s="43"/>
      <c r="G44" s="44"/>
      <c r="I44" s="44"/>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row>
    <row r="45" spans="1:49" s="14" customFormat="1" x14ac:dyDescent="0.2">
      <c r="A45" s="17"/>
      <c r="C45" s="21" t="s">
        <v>486</v>
      </c>
      <c r="D45" s="40">
        <f>SUM(Workings!Q7:Q8)</f>
        <v>3.0313945122381325</v>
      </c>
      <c r="E45" s="200" t="s">
        <v>374</v>
      </c>
      <c r="F45" s="201"/>
      <c r="G45" s="51">
        <f>VLOOKUP(D9,Workings!D40:G376,4,FALSE)*Workings!U7</f>
        <v>267975.27488185093</v>
      </c>
      <c r="H45" s="25" t="s">
        <v>375</v>
      </c>
      <c r="I45" s="51">
        <f>SUM(Workings!Y7)</f>
        <v>54368.060576990916</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row>
    <row r="46" spans="1:49" s="14" customFormat="1" x14ac:dyDescent="0.2">
      <c r="A46" s="17"/>
      <c r="C46" s="21" t="s">
        <v>487</v>
      </c>
      <c r="D46" s="40">
        <f>SUM(Workings!Q9:Q12)</f>
        <v>6.053767016999366</v>
      </c>
      <c r="E46" s="200" t="s">
        <v>374</v>
      </c>
      <c r="F46" s="201"/>
      <c r="G46" s="51">
        <f>VLOOKUP(D9,Workings!D40:G376,4,FALSE)*Workings!U9</f>
        <v>440714.23883755389</v>
      </c>
      <c r="H46" s="25" t="s">
        <v>375</v>
      </c>
      <c r="I46" s="51">
        <f>SUM(Workings!Y9)</f>
        <v>88990.375149890679</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row>
    <row r="47" spans="1:49" s="14" customFormat="1" x14ac:dyDescent="0.2">
      <c r="A47" s="17"/>
      <c r="C47" s="21" t="s">
        <v>488</v>
      </c>
      <c r="D47" s="40">
        <f>SUM(Workings!Q13:Q14)</f>
        <v>6.9769860678222813</v>
      </c>
      <c r="E47" s="200" t="s">
        <v>374</v>
      </c>
      <c r="F47" s="201"/>
      <c r="G47" s="51">
        <f>VLOOKUP(D9,Workings!D40:G376,4,FALSE)*Workings!U13</f>
        <v>145121.31021070346</v>
      </c>
      <c r="H47" s="25" t="s">
        <v>375</v>
      </c>
      <c r="I47" s="51">
        <f>SUM(Workings!Y13)</f>
        <v>29303.341484853583</v>
      </c>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row>
    <row r="48" spans="1:49" s="14" customFormat="1" x14ac:dyDescent="0.2">
      <c r="A48" s="17"/>
      <c r="C48" s="21" t="s">
        <v>476</v>
      </c>
      <c r="D48" s="40">
        <f>SUM(Workings!Q19:Q23)</f>
        <v>3.9020182337589047</v>
      </c>
      <c r="E48" s="200" t="s">
        <v>374</v>
      </c>
      <c r="F48" s="201"/>
      <c r="G48" s="51">
        <f>VLOOKUP(D9,Workings!D40:G376,4,FALSE)*Workings!U19</f>
        <v>466681.38075756503</v>
      </c>
      <c r="H48" s="25" t="s">
        <v>375</v>
      </c>
      <c r="I48" s="51">
        <f>SUM(Workings!Y19)</f>
        <v>96028.668732806633</v>
      </c>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row>
    <row r="49" spans="1:49" s="14" customFormat="1" x14ac:dyDescent="0.2">
      <c r="A49" s="17"/>
      <c r="C49" s="21" t="s">
        <v>489</v>
      </c>
      <c r="D49" s="40">
        <f>SUM(Workings!Q24:Q28)</f>
        <v>0</v>
      </c>
      <c r="E49" s="200" t="s">
        <v>374</v>
      </c>
      <c r="F49" s="201"/>
      <c r="G49" s="51">
        <f>VLOOKUP(D9,Workings!D40:G376,4,FALSE)*Workings!U24</f>
        <v>0</v>
      </c>
      <c r="H49" s="25" t="s">
        <v>375</v>
      </c>
      <c r="I49" s="51">
        <f>SUM(Workings!Y24)</f>
        <v>0</v>
      </c>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row>
    <row r="50" spans="1:49" s="14" customFormat="1" x14ac:dyDescent="0.2">
      <c r="A50" s="17"/>
      <c r="C50" s="21" t="s">
        <v>477</v>
      </c>
      <c r="D50" s="40">
        <f>SUM(Workings!Q29:Q32)/4</f>
        <v>0.74431561684418424</v>
      </c>
      <c r="E50" s="200" t="s">
        <v>374</v>
      </c>
      <c r="F50" s="201"/>
      <c r="G50" s="51">
        <f>VLOOKUP(D9,Workings!D40:G376,4,FALSE)*Workings!U29</f>
        <v>599918.38717641251</v>
      </c>
      <c r="H50" s="25" t="s">
        <v>375</v>
      </c>
      <c r="I50" s="51">
        <f>SUM(Workings!Y29)</f>
        <v>17882.182694681527</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row>
    <row r="51" spans="1:49" s="14" customFormat="1" x14ac:dyDescent="0.2">
      <c r="A51" s="17"/>
      <c r="C51" s="21" t="s">
        <v>478</v>
      </c>
      <c r="D51" s="40">
        <f>SUM(Workings!Q15:Q18)</f>
        <v>3.5458785155982708</v>
      </c>
      <c r="E51" s="200" t="s">
        <v>374</v>
      </c>
      <c r="F51" s="201"/>
      <c r="G51" s="51">
        <f>VLOOKUP(D9,Workings!D40:G376,4,FALSE)*Workings!U15</f>
        <v>995682.68717999454</v>
      </c>
      <c r="H51" s="25" t="s">
        <v>375</v>
      </c>
      <c r="I51" s="51">
        <f>SUM(Workings!Y15)</f>
        <v>193392.21424072969</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row>
    <row r="52" spans="1:49" s="171" customFormat="1" x14ac:dyDescent="0.2">
      <c r="A52" s="170"/>
      <c r="C52" s="21"/>
      <c r="D52" s="172"/>
      <c r="E52" s="25"/>
      <c r="F52" s="173"/>
      <c r="G52" s="174"/>
      <c r="H52" s="25"/>
      <c r="I52" s="174"/>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row>
    <row r="53" spans="1:49" s="171" customFormat="1" ht="24" customHeight="1" x14ac:dyDescent="0.2">
      <c r="A53" s="170"/>
      <c r="C53" s="213" t="s">
        <v>541</v>
      </c>
      <c r="D53" s="214"/>
      <c r="E53" s="206"/>
      <c r="F53" s="206"/>
      <c r="G53" s="206"/>
      <c r="H53" s="206"/>
      <c r="I53" s="206"/>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row>
    <row r="54" spans="1:49" s="45" customFormat="1" ht="30.75" customHeight="1" x14ac:dyDescent="0.2">
      <c r="A54" s="47"/>
      <c r="C54" s="217" t="s">
        <v>560</v>
      </c>
      <c r="D54" s="217"/>
      <c r="E54" s="217"/>
      <c r="F54" s="217"/>
      <c r="G54" s="217"/>
      <c r="H54" s="217"/>
      <c r="I54" s="217"/>
      <c r="J54" s="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ht="26.25" hidden="1" customHeight="1" x14ac:dyDescent="0.2">
      <c r="C55" s="215" t="s">
        <v>540</v>
      </c>
      <c r="D55" s="215"/>
      <c r="E55" s="215"/>
      <c r="F55" s="215"/>
      <c r="G55" s="215"/>
      <c r="H55" s="215"/>
      <c r="I55" s="215"/>
      <c r="J55" s="215"/>
      <c r="K55" s="17"/>
    </row>
    <row r="56" spans="1:49" ht="9.75" hidden="1" customHeight="1" x14ac:dyDescent="0.2">
      <c r="C56" s="11"/>
      <c r="D56" s="11"/>
      <c r="E56" s="11"/>
      <c r="F56" s="11"/>
      <c r="G56" s="11"/>
      <c r="H56" s="11"/>
      <c r="I56" s="11"/>
      <c r="J56" s="11"/>
      <c r="K56" s="17"/>
    </row>
    <row r="57" spans="1:49" hidden="1" x14ac:dyDescent="0.2">
      <c r="C57" s="49" t="s">
        <v>490</v>
      </c>
      <c r="D57" s="50">
        <f>Workings!R33</f>
        <v>29</v>
      </c>
      <c r="E57" s="50"/>
      <c r="F57" s="12" t="s">
        <v>374</v>
      </c>
      <c r="G57" s="48">
        <f>Workings!AB33</f>
        <v>4770000</v>
      </c>
      <c r="H57" s="12" t="s">
        <v>375</v>
      </c>
      <c r="I57" s="48">
        <f>Workings!AF33</f>
        <v>587280</v>
      </c>
      <c r="J57" s="11"/>
      <c r="K57" s="17"/>
    </row>
    <row r="58" spans="1:49" hidden="1" x14ac:dyDescent="0.2">
      <c r="C58" s="49" t="s">
        <v>486</v>
      </c>
      <c r="D58" s="50">
        <f>Workings!R7</f>
        <v>4</v>
      </c>
      <c r="E58" s="50"/>
      <c r="F58" s="12" t="s">
        <v>374</v>
      </c>
      <c r="G58" s="48">
        <f>Workings!AB7</f>
        <v>340000</v>
      </c>
      <c r="H58" s="12" t="s">
        <v>375</v>
      </c>
      <c r="I58" s="48">
        <f>Workings!AF7</f>
        <v>71740</v>
      </c>
      <c r="J58" s="11"/>
      <c r="K58" s="17"/>
    </row>
    <row r="59" spans="1:49" hidden="1" x14ac:dyDescent="0.2">
      <c r="C59" s="49" t="s">
        <v>487</v>
      </c>
      <c r="D59" s="50">
        <f>Workings!R9</f>
        <v>7</v>
      </c>
      <c r="E59" s="50"/>
      <c r="F59" s="12" t="s">
        <v>374</v>
      </c>
      <c r="G59" s="48">
        <f>Workings!AB9</f>
        <v>490000</v>
      </c>
      <c r="H59" s="12" t="s">
        <v>375</v>
      </c>
      <c r="I59" s="48">
        <f>Workings!AF9</f>
        <v>102900</v>
      </c>
      <c r="J59" s="11"/>
      <c r="K59" s="17"/>
    </row>
    <row r="60" spans="1:49" hidden="1" x14ac:dyDescent="0.2">
      <c r="C60" s="49" t="s">
        <v>488</v>
      </c>
      <c r="D60" s="50">
        <f>Workings!R13</f>
        <v>7</v>
      </c>
      <c r="E60" s="50"/>
      <c r="F60" s="12" t="s">
        <v>374</v>
      </c>
      <c r="G60" s="48">
        <f>Workings!AB13</f>
        <v>140000</v>
      </c>
      <c r="H60" s="12" t="s">
        <v>375</v>
      </c>
      <c r="I60" s="48">
        <f>Workings!AF13</f>
        <v>29400</v>
      </c>
      <c r="J60" s="11"/>
      <c r="K60" s="17"/>
    </row>
    <row r="61" spans="1:49" hidden="1" x14ac:dyDescent="0.2">
      <c r="C61" s="49" t="s">
        <v>476</v>
      </c>
      <c r="D61" s="50">
        <f>Workings!R19</f>
        <v>4</v>
      </c>
      <c r="E61" s="50"/>
      <c r="F61" s="12" t="s">
        <v>374</v>
      </c>
      <c r="G61" s="48">
        <f>Workings!AB19</f>
        <v>460000</v>
      </c>
      <c r="H61" s="12" t="s">
        <v>375</v>
      </c>
      <c r="I61" s="48">
        <f>Workings!AF19</f>
        <v>98440</v>
      </c>
      <c r="J61" s="11"/>
      <c r="K61" s="17"/>
    </row>
    <row r="62" spans="1:49" hidden="1" x14ac:dyDescent="0.2">
      <c r="C62" s="49" t="s">
        <v>489</v>
      </c>
      <c r="D62" s="50">
        <f>Workings!R24</f>
        <v>0</v>
      </c>
      <c r="E62" s="50"/>
      <c r="F62" s="12" t="s">
        <v>374</v>
      </c>
      <c r="G62" s="48">
        <f>Workings!AB24</f>
        <v>0</v>
      </c>
      <c r="H62" s="12" t="s">
        <v>375</v>
      </c>
      <c r="I62" s="48">
        <f>Workings!AF24</f>
        <v>0</v>
      </c>
      <c r="J62" s="11"/>
      <c r="K62" s="17"/>
    </row>
    <row r="63" spans="1:49" hidden="1" x14ac:dyDescent="0.2">
      <c r="C63" s="49" t="s">
        <v>477</v>
      </c>
      <c r="D63" s="50">
        <f>Workings!R29</f>
        <v>3</v>
      </c>
      <c r="E63" s="50"/>
      <c r="F63" s="12" t="s">
        <v>374</v>
      </c>
      <c r="G63" s="48">
        <f>Workings!AB29</f>
        <v>2280000</v>
      </c>
      <c r="H63" s="12" t="s">
        <v>375</v>
      </c>
      <c r="I63" s="48">
        <f>Workings!AF29</f>
        <v>70680</v>
      </c>
      <c r="J63" s="11"/>
      <c r="K63" s="17"/>
    </row>
    <row r="64" spans="1:49" hidden="1" x14ac:dyDescent="0.2">
      <c r="C64" s="49" t="s">
        <v>478</v>
      </c>
      <c r="D64" s="50">
        <f>Workings!R15</f>
        <v>4</v>
      </c>
      <c r="E64" s="50"/>
      <c r="F64" s="12" t="s">
        <v>374</v>
      </c>
      <c r="G64" s="48">
        <f>Workings!AB15</f>
        <v>1060000</v>
      </c>
      <c r="H64" s="12" t="s">
        <v>375</v>
      </c>
      <c r="I64" s="48">
        <f>Workings!AF15</f>
        <v>214120</v>
      </c>
      <c r="J64" s="11"/>
      <c r="K64" s="17"/>
    </row>
    <row r="65" spans="3:11" x14ac:dyDescent="0.2">
      <c r="C65" s="14"/>
      <c r="D65" s="14"/>
      <c r="F65" s="14"/>
      <c r="G65" s="14"/>
      <c r="H65" s="14"/>
      <c r="I65" s="14"/>
      <c r="J65" s="14"/>
      <c r="K65" s="17"/>
    </row>
    <row r="66" spans="3:11" s="17" customFormat="1" x14ac:dyDescent="0.2"/>
    <row r="67" spans="3:11" s="17" customFormat="1" x14ac:dyDescent="0.2"/>
    <row r="68" spans="3:11" s="17" customFormat="1" x14ac:dyDescent="0.2"/>
    <row r="69" spans="3:11" s="17" customFormat="1" x14ac:dyDescent="0.2"/>
    <row r="70" spans="3:11" s="17" customFormat="1" x14ac:dyDescent="0.2"/>
    <row r="71" spans="3:11" s="17" customFormat="1" x14ac:dyDescent="0.2"/>
    <row r="72" spans="3:11" s="17" customFormat="1" x14ac:dyDescent="0.2"/>
    <row r="73" spans="3:11" s="17" customFormat="1" x14ac:dyDescent="0.2"/>
    <row r="74" spans="3:11" s="17" customFormat="1" x14ac:dyDescent="0.2"/>
    <row r="75" spans="3:11" s="17" customFormat="1" x14ac:dyDescent="0.2"/>
    <row r="76" spans="3:11" s="17" customFormat="1" x14ac:dyDescent="0.2"/>
    <row r="77" spans="3:11" s="17" customFormat="1" x14ac:dyDescent="0.2"/>
    <row r="78" spans="3:11" s="17" customFormat="1" x14ac:dyDescent="0.2"/>
    <row r="79" spans="3:11" s="17" customFormat="1" x14ac:dyDescent="0.2"/>
    <row r="80" spans="3:11"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sheetData>
  <sheetProtection algorithmName="SHA-512" hashValue="vOqZUfZ1e5gsMFVh+5KYbMG+oxn8LXei7vfzqyUVx8quP27lwzyVHNeUP7zKUf0OekWsa55rFAurBpznx/CuGw==" saltValue="ALS/ogDnIdpIViqzmIiXJA==" spinCount="100000" sheet="1" objects="1" scenarios="1"/>
  <mergeCells count="35">
    <mergeCell ref="C53:I53"/>
    <mergeCell ref="C55:J55"/>
    <mergeCell ref="G20:H20"/>
    <mergeCell ref="G21:H21"/>
    <mergeCell ref="C30:D30"/>
    <mergeCell ref="C31:D31"/>
    <mergeCell ref="C33:D33"/>
    <mergeCell ref="C37:D37"/>
    <mergeCell ref="C54:I54"/>
    <mergeCell ref="C27:D27"/>
    <mergeCell ref="C39:D39"/>
    <mergeCell ref="C40:D40"/>
    <mergeCell ref="C41:D41"/>
    <mergeCell ref="E43:F43"/>
    <mergeCell ref="E45:F45"/>
    <mergeCell ref="E51:F51"/>
    <mergeCell ref="G19:H19"/>
    <mergeCell ref="G23:H23"/>
    <mergeCell ref="G9:H9"/>
    <mergeCell ref="G17:H17"/>
    <mergeCell ref="G18:H18"/>
    <mergeCell ref="G22:H22"/>
    <mergeCell ref="C3:D3"/>
    <mergeCell ref="E47:F47"/>
    <mergeCell ref="E48:F48"/>
    <mergeCell ref="E49:F49"/>
    <mergeCell ref="E50:F50"/>
    <mergeCell ref="C5:D5"/>
    <mergeCell ref="C15:D15"/>
    <mergeCell ref="C28:D28"/>
    <mergeCell ref="C25:D25"/>
    <mergeCell ref="C29:D29"/>
    <mergeCell ref="C38:D38"/>
    <mergeCell ref="C36:D36"/>
    <mergeCell ref="E46:F46"/>
  </mergeCells>
  <dataValidations count="1">
    <dataValidation type="whole" allowBlank="1" showInputMessage="1" showErrorMessage="1" sqref="D13:E13" xr:uid="{00000000-0002-0000-0100-000000000000}">
      <formula1>0</formula1>
      <formula2>10000000</formula2>
    </dataValidation>
  </dataValidations>
  <hyperlinks>
    <hyperlink ref="C54:I54" r:id="rId1" display="https://www.sportengland.org/facilities-planning/tools-guidance/design-and-cost-guidance/cost-guidance/" xr:uid="{00000000-0004-0000-0100-000000000000}"/>
    <hyperlink ref="C35" r:id="rId2" location="other-developer-contributions" xr:uid="{00000000-0004-0000-0100-000001000000}"/>
  </hyperlinks>
  <pageMargins left="0.70866141732283472" right="0.70866141732283472" top="0.74803149606299213" bottom="0.74803149606299213" header="0.31496062992125984" footer="0.31496062992125984"/>
  <pageSetup paperSize="9" scale="5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Workings!$D$40:$D$376</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AS426"/>
  <sheetViews>
    <sheetView tabSelected="1" topLeftCell="A28" zoomScaleNormal="100" zoomScaleSheetLayoutView="100" workbookViewId="0">
      <selection activeCell="E22" sqref="E22"/>
    </sheetView>
  </sheetViews>
  <sheetFormatPr defaultColWidth="8.85546875" defaultRowHeight="12.75" x14ac:dyDescent="0.2"/>
  <cols>
    <col min="1" max="1" width="8.85546875" style="125"/>
    <col min="2" max="2" width="2.7109375" style="3" customWidth="1"/>
    <col min="3" max="3" width="36.140625" style="3" customWidth="1"/>
    <col min="4" max="5" width="30.140625" style="3" customWidth="1"/>
    <col min="6" max="6" width="1.7109375" style="3" customWidth="1"/>
    <col min="7" max="8" width="30.140625" style="3" customWidth="1"/>
    <col min="9" max="9" width="4.7109375" style="3" customWidth="1"/>
    <col min="10" max="10" width="12.85546875" style="125" customWidth="1"/>
    <col min="11" max="11" width="23" style="125" customWidth="1"/>
    <col min="12" max="12" width="2.140625" style="125" customWidth="1"/>
    <col min="13" max="13" width="3.7109375" style="125" customWidth="1"/>
    <col min="14" max="45" width="8.85546875" style="125"/>
    <col min="46" max="16384" width="8.85546875" style="3"/>
  </cols>
  <sheetData>
    <row r="1" spans="1:45" s="125" customFormat="1" ht="30.75" customHeight="1" x14ac:dyDescent="0.2"/>
    <row r="2" spans="1:45" ht="11.25" customHeight="1" x14ac:dyDescent="0.2"/>
    <row r="3" spans="1:45" ht="21" x14ac:dyDescent="0.2">
      <c r="C3" s="224" t="s">
        <v>536</v>
      </c>
      <c r="D3" s="225"/>
      <c r="E3" s="225"/>
      <c r="F3" s="225"/>
      <c r="G3" s="225"/>
      <c r="H3" s="225"/>
    </row>
    <row r="4" spans="1:45" ht="12.75" customHeight="1" x14ac:dyDescent="0.2"/>
    <row r="5" spans="1:45" s="13" customFormat="1" ht="220.5" customHeight="1" x14ac:dyDescent="0.2">
      <c r="A5" s="140"/>
      <c r="C5" s="205" t="s">
        <v>561</v>
      </c>
      <c r="D5" s="205"/>
      <c r="E5" s="205"/>
      <c r="F5" s="205"/>
      <c r="G5" s="205"/>
      <c r="H5" s="205"/>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row>
    <row r="6" spans="1:45" ht="15.75" x14ac:dyDescent="0.2">
      <c r="C6" s="7"/>
      <c r="D6" s="7"/>
      <c r="E6" s="7"/>
      <c r="F6" s="7"/>
      <c r="G6" s="7"/>
      <c r="H6" s="7"/>
    </row>
    <row r="7" spans="1:45" ht="18" customHeight="1" x14ac:dyDescent="0.25">
      <c r="C7" s="138"/>
      <c r="D7" s="229" t="s">
        <v>376</v>
      </c>
      <c r="E7" s="229"/>
      <c r="F7" s="137"/>
      <c r="G7" s="228" t="s">
        <v>377</v>
      </c>
      <c r="H7" s="228"/>
    </row>
    <row r="8" spans="1:45" ht="44.25" customHeight="1" x14ac:dyDescent="0.25">
      <c r="C8" s="227" t="s">
        <v>0</v>
      </c>
      <c r="D8" s="139" t="s">
        <v>457</v>
      </c>
      <c r="E8" s="139" t="s">
        <v>458</v>
      </c>
      <c r="F8" s="135"/>
      <c r="G8" s="226" t="s">
        <v>551</v>
      </c>
      <c r="H8" s="226" t="s">
        <v>461</v>
      </c>
    </row>
    <row r="9" spans="1:45" ht="15" x14ac:dyDescent="0.25">
      <c r="C9" s="227"/>
      <c r="D9" s="168" t="s">
        <v>572</v>
      </c>
      <c r="E9" s="168" t="s">
        <v>572</v>
      </c>
      <c r="F9" s="135"/>
      <c r="G9" s="226"/>
      <c r="H9" s="226"/>
    </row>
    <row r="10" spans="1:45" x14ac:dyDescent="0.2">
      <c r="C10" s="141" t="s">
        <v>1</v>
      </c>
      <c r="D10" s="185">
        <v>28337</v>
      </c>
      <c r="E10" s="142">
        <v>566.74</v>
      </c>
      <c r="F10" s="136"/>
      <c r="G10" s="143">
        <v>0.6</v>
      </c>
      <c r="H10" s="143">
        <v>0</v>
      </c>
    </row>
    <row r="11" spans="1:45" x14ac:dyDescent="0.2">
      <c r="C11" s="141" t="s">
        <v>2</v>
      </c>
      <c r="D11" s="185">
        <v>28337</v>
      </c>
      <c r="E11" s="142">
        <v>4722.833333333333</v>
      </c>
      <c r="F11" s="136"/>
      <c r="G11" s="143">
        <v>0.6</v>
      </c>
      <c r="H11" s="143">
        <v>0</v>
      </c>
    </row>
    <row r="12" spans="1:45" x14ac:dyDescent="0.2">
      <c r="C12" s="141" t="s">
        <v>3</v>
      </c>
      <c r="D12" s="185">
        <v>2930</v>
      </c>
      <c r="E12" s="142">
        <v>41.267605633802816</v>
      </c>
      <c r="F12" s="136"/>
      <c r="G12" s="143">
        <v>0.55000000000000004</v>
      </c>
      <c r="H12" s="143">
        <v>0</v>
      </c>
    </row>
    <row r="13" spans="1:45" x14ac:dyDescent="0.2">
      <c r="C13" s="141" t="s">
        <v>4</v>
      </c>
      <c r="D13" s="185">
        <v>2930</v>
      </c>
      <c r="E13" s="142">
        <v>586</v>
      </c>
      <c r="F13" s="136"/>
      <c r="G13" s="143">
        <v>0.55000000000000004</v>
      </c>
      <c r="H13" s="143">
        <v>0</v>
      </c>
    </row>
    <row r="14" spans="1:45" x14ac:dyDescent="0.2">
      <c r="C14" s="141" t="s">
        <v>5</v>
      </c>
      <c r="D14" s="185">
        <v>1584</v>
      </c>
      <c r="E14" s="142">
        <v>38.634146341463413</v>
      </c>
      <c r="F14" s="136"/>
      <c r="G14" s="143">
        <v>0.55000000000000004</v>
      </c>
      <c r="H14" s="143">
        <v>0</v>
      </c>
    </row>
    <row r="15" spans="1:45" x14ac:dyDescent="0.2">
      <c r="C15" s="141" t="s">
        <v>6</v>
      </c>
      <c r="D15" s="185">
        <v>1584</v>
      </c>
      <c r="E15" s="142">
        <v>316.8</v>
      </c>
      <c r="F15" s="136"/>
      <c r="G15" s="143">
        <v>0.55000000000000004</v>
      </c>
      <c r="H15" s="143">
        <v>0</v>
      </c>
    </row>
    <row r="16" spans="1:45" x14ac:dyDescent="0.2">
      <c r="C16" s="141" t="s">
        <v>7</v>
      </c>
      <c r="D16" s="186">
        <v>3277</v>
      </c>
      <c r="E16" s="142">
        <v>55.542372881355931</v>
      </c>
      <c r="F16" s="136"/>
      <c r="G16" s="143">
        <v>0.7</v>
      </c>
      <c r="H16" s="143">
        <v>0</v>
      </c>
    </row>
    <row r="17" spans="3:8" x14ac:dyDescent="0.2">
      <c r="C17" s="141" t="s">
        <v>8</v>
      </c>
      <c r="D17" s="186">
        <v>3279</v>
      </c>
      <c r="E17" s="142">
        <v>91</v>
      </c>
      <c r="F17" s="136"/>
      <c r="G17" s="143">
        <v>1</v>
      </c>
      <c r="H17" s="143">
        <v>0</v>
      </c>
    </row>
    <row r="18" spans="3:8" x14ac:dyDescent="0.2">
      <c r="C18" s="131" t="s">
        <v>9</v>
      </c>
      <c r="D18" s="187">
        <v>36704</v>
      </c>
      <c r="E18" s="132">
        <v>720</v>
      </c>
      <c r="F18" s="136"/>
      <c r="G18" s="133" t="s">
        <v>378</v>
      </c>
      <c r="H18" s="134">
        <v>0</v>
      </c>
    </row>
    <row r="19" spans="3:8" x14ac:dyDescent="0.2">
      <c r="C19" s="131" t="s">
        <v>10</v>
      </c>
      <c r="D19" s="187">
        <v>36704</v>
      </c>
      <c r="E19" s="132">
        <v>12235</v>
      </c>
      <c r="F19" s="136"/>
      <c r="G19" s="133" t="s">
        <v>378</v>
      </c>
      <c r="H19" s="134">
        <v>0</v>
      </c>
    </row>
    <row r="20" spans="3:8" x14ac:dyDescent="0.2">
      <c r="C20" s="131" t="s">
        <v>11</v>
      </c>
      <c r="D20" s="187">
        <v>8361</v>
      </c>
      <c r="E20" s="132">
        <v>194</v>
      </c>
      <c r="F20" s="136"/>
      <c r="G20" s="133" t="s">
        <v>378</v>
      </c>
      <c r="H20" s="134">
        <v>0</v>
      </c>
    </row>
    <row r="21" spans="3:8" x14ac:dyDescent="0.2">
      <c r="C21" s="131" t="s">
        <v>12</v>
      </c>
      <c r="D21" s="187">
        <v>8361</v>
      </c>
      <c r="E21" s="132">
        <v>0</v>
      </c>
      <c r="F21" s="136"/>
      <c r="G21" s="133" t="s">
        <v>378</v>
      </c>
      <c r="H21" s="134">
        <v>0</v>
      </c>
    </row>
    <row r="22" spans="3:8" x14ac:dyDescent="0.2">
      <c r="C22" s="141" t="s">
        <v>13</v>
      </c>
      <c r="D22" s="188">
        <v>26225</v>
      </c>
      <c r="E22" s="142">
        <v>1380.2631578947369</v>
      </c>
      <c r="F22" s="136"/>
      <c r="G22" s="143">
        <v>1</v>
      </c>
      <c r="H22" s="143">
        <v>0</v>
      </c>
    </row>
    <row r="23" spans="3:8" x14ac:dyDescent="0.2">
      <c r="C23" s="141" t="s">
        <v>14</v>
      </c>
      <c r="D23" s="188">
        <v>26225</v>
      </c>
      <c r="E23" s="142">
        <v>0</v>
      </c>
      <c r="F23" s="136"/>
      <c r="G23" s="143">
        <v>1</v>
      </c>
      <c r="H23" s="143">
        <v>0</v>
      </c>
    </row>
    <row r="24" spans="3:8" x14ac:dyDescent="0.2">
      <c r="C24" s="141" t="s">
        <v>15</v>
      </c>
      <c r="D24" s="185">
        <v>4284</v>
      </c>
      <c r="E24" s="142">
        <v>225.47368421052633</v>
      </c>
      <c r="F24" s="136"/>
      <c r="G24" s="143">
        <v>1</v>
      </c>
      <c r="H24" s="143">
        <v>0</v>
      </c>
    </row>
    <row r="25" spans="3:8" x14ac:dyDescent="0.2">
      <c r="C25" s="141" t="s">
        <v>16</v>
      </c>
      <c r="D25" s="185">
        <v>4284</v>
      </c>
      <c r="E25" s="142">
        <v>0</v>
      </c>
      <c r="F25" s="136"/>
      <c r="G25" s="143">
        <v>1</v>
      </c>
      <c r="H25" s="143">
        <v>0</v>
      </c>
    </row>
    <row r="26" spans="3:8" x14ac:dyDescent="0.2">
      <c r="C26" s="141" t="s">
        <v>17</v>
      </c>
      <c r="D26" s="189">
        <v>9575</v>
      </c>
      <c r="E26" s="142">
        <v>455.95238095238096</v>
      </c>
      <c r="F26" s="136"/>
      <c r="G26" s="143">
        <v>1</v>
      </c>
      <c r="H26" s="143">
        <v>0</v>
      </c>
    </row>
    <row r="27" spans="3:8" x14ac:dyDescent="0.2">
      <c r="C27" s="131" t="s">
        <v>18</v>
      </c>
      <c r="D27" s="132">
        <v>0</v>
      </c>
      <c r="E27" s="132">
        <v>0</v>
      </c>
      <c r="F27" s="136"/>
      <c r="G27" s="134">
        <v>1</v>
      </c>
      <c r="H27" s="134">
        <v>0</v>
      </c>
    </row>
    <row r="28" spans="3:8" x14ac:dyDescent="0.2">
      <c r="C28" s="131" t="s">
        <v>19</v>
      </c>
      <c r="D28" s="132">
        <v>0</v>
      </c>
      <c r="E28" s="132">
        <v>0</v>
      </c>
      <c r="F28" s="136"/>
      <c r="G28" s="134">
        <v>1</v>
      </c>
      <c r="H28" s="134">
        <v>0</v>
      </c>
    </row>
    <row r="29" spans="3:8" x14ac:dyDescent="0.2">
      <c r="C29" s="131" t="s">
        <v>20</v>
      </c>
      <c r="D29" s="132">
        <v>0</v>
      </c>
      <c r="E29" s="132">
        <v>0</v>
      </c>
      <c r="F29" s="136"/>
      <c r="G29" s="134">
        <v>1</v>
      </c>
      <c r="H29" s="134">
        <v>0</v>
      </c>
    </row>
    <row r="30" spans="3:8" x14ac:dyDescent="0.2">
      <c r="C30" s="131" t="s">
        <v>21</v>
      </c>
      <c r="D30" s="132">
        <v>0</v>
      </c>
      <c r="E30" s="132">
        <v>0</v>
      </c>
      <c r="F30" s="136"/>
      <c r="G30" s="134">
        <v>1</v>
      </c>
      <c r="H30" s="134">
        <v>0</v>
      </c>
    </row>
    <row r="31" spans="3:8" x14ac:dyDescent="0.2">
      <c r="C31" s="131" t="s">
        <v>22</v>
      </c>
      <c r="D31" s="132">
        <v>0</v>
      </c>
      <c r="E31" s="132">
        <v>0</v>
      </c>
      <c r="F31" s="136"/>
      <c r="G31" s="134">
        <v>1</v>
      </c>
      <c r="H31" s="134">
        <v>0</v>
      </c>
    </row>
    <row r="32" spans="3:8" x14ac:dyDescent="0.2">
      <c r="C32" s="141" t="s">
        <v>23</v>
      </c>
      <c r="D32" s="187">
        <v>38106</v>
      </c>
      <c r="E32" s="190">
        <v>2931.2307692307691</v>
      </c>
      <c r="F32" s="136"/>
      <c r="G32" s="143">
        <v>1</v>
      </c>
      <c r="H32" s="143">
        <v>0</v>
      </c>
    </row>
    <row r="33" spans="3:8" x14ac:dyDescent="0.2">
      <c r="C33" s="141" t="s">
        <v>24</v>
      </c>
      <c r="D33" s="187">
        <v>38106</v>
      </c>
      <c r="E33" s="190">
        <v>3175.5</v>
      </c>
      <c r="F33" s="136"/>
      <c r="G33" s="143">
        <v>1</v>
      </c>
      <c r="H33" s="143">
        <v>0</v>
      </c>
    </row>
    <row r="34" spans="3:8" x14ac:dyDescent="0.2">
      <c r="C34" s="141" t="s">
        <v>25</v>
      </c>
      <c r="D34" s="187">
        <v>3704</v>
      </c>
      <c r="E34" s="190">
        <v>926</v>
      </c>
      <c r="F34" s="136"/>
      <c r="G34" s="143">
        <v>1</v>
      </c>
      <c r="H34" s="143">
        <v>0</v>
      </c>
    </row>
    <row r="35" spans="3:8" x14ac:dyDescent="0.2">
      <c r="C35" s="141" t="s">
        <v>26</v>
      </c>
      <c r="D35" s="187">
        <v>3704</v>
      </c>
      <c r="E35" s="190">
        <v>926</v>
      </c>
      <c r="F35" s="136"/>
      <c r="G35" s="143">
        <v>1</v>
      </c>
      <c r="H35" s="143">
        <v>0</v>
      </c>
    </row>
    <row r="36" spans="3:8" ht="162.75" customHeight="1" x14ac:dyDescent="0.2">
      <c r="C36" s="221" t="s">
        <v>567</v>
      </c>
      <c r="D36" s="208"/>
      <c r="E36" s="208"/>
      <c r="F36" s="208"/>
      <c r="G36" s="208"/>
      <c r="H36" s="208"/>
    </row>
    <row r="37" spans="3:8" ht="18" customHeight="1" x14ac:dyDescent="0.2">
      <c r="C37" s="222" t="s">
        <v>552</v>
      </c>
      <c r="D37" s="223"/>
      <c r="E37" s="223"/>
      <c r="F37" s="223"/>
      <c r="G37" s="223"/>
      <c r="H37" s="223"/>
    </row>
    <row r="38" spans="3:8" ht="8.25" customHeight="1" x14ac:dyDescent="0.2"/>
    <row r="39" spans="3:8" s="125" customFormat="1" x14ac:dyDescent="0.2"/>
    <row r="40" spans="3:8" s="125" customFormat="1" x14ac:dyDescent="0.2"/>
    <row r="41" spans="3:8" s="125" customFormat="1" x14ac:dyDescent="0.2"/>
    <row r="42" spans="3:8" s="125" customFormat="1" x14ac:dyDescent="0.2"/>
    <row r="43" spans="3:8" s="125" customFormat="1" x14ac:dyDescent="0.2"/>
    <row r="44" spans="3:8" s="125" customFormat="1" x14ac:dyDescent="0.2"/>
    <row r="45" spans="3:8" s="125" customFormat="1" x14ac:dyDescent="0.2"/>
    <row r="46" spans="3:8" s="125" customFormat="1" x14ac:dyDescent="0.2"/>
    <row r="47" spans="3:8" s="125" customFormat="1" x14ac:dyDescent="0.2"/>
    <row r="48" spans="3:8" s="125" customFormat="1" x14ac:dyDescent="0.2"/>
    <row r="49" s="125" customFormat="1" x14ac:dyDescent="0.2"/>
    <row r="50" s="125" customFormat="1" x14ac:dyDescent="0.2"/>
    <row r="51" s="125" customFormat="1" x14ac:dyDescent="0.2"/>
    <row r="52" s="125" customFormat="1" x14ac:dyDescent="0.2"/>
    <row r="53" s="125" customFormat="1" x14ac:dyDescent="0.2"/>
    <row r="54" s="125" customFormat="1" x14ac:dyDescent="0.2"/>
    <row r="55" s="125" customFormat="1" x14ac:dyDescent="0.2"/>
    <row r="56" s="125" customFormat="1" x14ac:dyDescent="0.2"/>
    <row r="57" s="125" customFormat="1" x14ac:dyDescent="0.2"/>
    <row r="58" s="125" customFormat="1" x14ac:dyDescent="0.2"/>
    <row r="59" s="125" customFormat="1" x14ac:dyDescent="0.2"/>
    <row r="60" s="125" customFormat="1" x14ac:dyDescent="0.2"/>
    <row r="61" s="125" customFormat="1" x14ac:dyDescent="0.2"/>
    <row r="62" s="125" customFormat="1" x14ac:dyDescent="0.2"/>
    <row r="63" s="125" customFormat="1" x14ac:dyDescent="0.2"/>
    <row r="64" s="125" customFormat="1" x14ac:dyDescent="0.2"/>
    <row r="65" s="125" customFormat="1" x14ac:dyDescent="0.2"/>
    <row r="66" s="125" customFormat="1" x14ac:dyDescent="0.2"/>
    <row r="67" s="125" customFormat="1" x14ac:dyDescent="0.2"/>
    <row r="68" s="125" customFormat="1" x14ac:dyDescent="0.2"/>
    <row r="69" s="125" customFormat="1" x14ac:dyDescent="0.2"/>
    <row r="70" s="125" customFormat="1" x14ac:dyDescent="0.2"/>
    <row r="71" s="125" customFormat="1" x14ac:dyDescent="0.2"/>
    <row r="72" s="125" customFormat="1" x14ac:dyDescent="0.2"/>
    <row r="73" s="125" customFormat="1" x14ac:dyDescent="0.2"/>
    <row r="74" s="125" customFormat="1" x14ac:dyDescent="0.2"/>
    <row r="75" s="125" customFormat="1" x14ac:dyDescent="0.2"/>
    <row r="76" s="125" customFormat="1" x14ac:dyDescent="0.2"/>
    <row r="77" s="125" customFormat="1" x14ac:dyDescent="0.2"/>
    <row r="78" s="125" customFormat="1" x14ac:dyDescent="0.2"/>
    <row r="79" s="125" customFormat="1" x14ac:dyDescent="0.2"/>
    <row r="80" s="125" customFormat="1" x14ac:dyDescent="0.2"/>
    <row r="81" s="125" customFormat="1" x14ac:dyDescent="0.2"/>
    <row r="82" s="125" customFormat="1" x14ac:dyDescent="0.2"/>
    <row r="83" s="125" customFormat="1" x14ac:dyDescent="0.2"/>
    <row r="84" s="125" customFormat="1" x14ac:dyDescent="0.2"/>
    <row r="85" s="125" customFormat="1" x14ac:dyDescent="0.2"/>
    <row r="86" s="125" customFormat="1" x14ac:dyDescent="0.2"/>
    <row r="87" s="125" customFormat="1" x14ac:dyDescent="0.2"/>
    <row r="88" s="125" customFormat="1" x14ac:dyDescent="0.2"/>
    <row r="89" s="125" customFormat="1" x14ac:dyDescent="0.2"/>
    <row r="90" s="125" customFormat="1" x14ac:dyDescent="0.2"/>
    <row r="91" s="125" customFormat="1" x14ac:dyDescent="0.2"/>
    <row r="92" s="125" customFormat="1" x14ac:dyDescent="0.2"/>
    <row r="93" s="125" customFormat="1" x14ac:dyDescent="0.2"/>
    <row r="94" s="125" customFormat="1" x14ac:dyDescent="0.2"/>
    <row r="95" s="125" customFormat="1" x14ac:dyDescent="0.2"/>
    <row r="96" s="125" customFormat="1" x14ac:dyDescent="0.2"/>
    <row r="97" s="125" customFormat="1" x14ac:dyDescent="0.2"/>
    <row r="98" s="125" customFormat="1" x14ac:dyDescent="0.2"/>
    <row r="99" s="125" customFormat="1" x14ac:dyDescent="0.2"/>
    <row r="100" s="125" customFormat="1" x14ac:dyDescent="0.2"/>
    <row r="101" s="125" customFormat="1" x14ac:dyDescent="0.2"/>
    <row r="102" s="125" customFormat="1" x14ac:dyDescent="0.2"/>
    <row r="103" s="125" customFormat="1" x14ac:dyDescent="0.2"/>
    <row r="104" s="125" customFormat="1" x14ac:dyDescent="0.2"/>
    <row r="105" s="125" customFormat="1" x14ac:dyDescent="0.2"/>
    <row r="106" s="125" customFormat="1" x14ac:dyDescent="0.2"/>
    <row r="107" s="125" customFormat="1" x14ac:dyDescent="0.2"/>
    <row r="108" s="125" customFormat="1" x14ac:dyDescent="0.2"/>
    <row r="109" s="125" customFormat="1" x14ac:dyDescent="0.2"/>
    <row r="110" s="125" customFormat="1" x14ac:dyDescent="0.2"/>
    <row r="111" s="125" customFormat="1" x14ac:dyDescent="0.2"/>
    <row r="112" s="125" customFormat="1" x14ac:dyDescent="0.2"/>
    <row r="113" s="125" customFormat="1" x14ac:dyDescent="0.2"/>
    <row r="114" s="125" customFormat="1" x14ac:dyDescent="0.2"/>
    <row r="115" s="125" customFormat="1" x14ac:dyDescent="0.2"/>
    <row r="116" s="125" customFormat="1" x14ac:dyDescent="0.2"/>
    <row r="117" s="125" customFormat="1" x14ac:dyDescent="0.2"/>
    <row r="118" s="125" customFormat="1" x14ac:dyDescent="0.2"/>
    <row r="119" s="125" customFormat="1" x14ac:dyDescent="0.2"/>
    <row r="120" s="125" customFormat="1" x14ac:dyDescent="0.2"/>
    <row r="121" s="125" customFormat="1" x14ac:dyDescent="0.2"/>
    <row r="122" s="125" customFormat="1" x14ac:dyDescent="0.2"/>
    <row r="123" s="125" customFormat="1" x14ac:dyDescent="0.2"/>
    <row r="124" s="125" customFormat="1" x14ac:dyDescent="0.2"/>
    <row r="125" s="125" customFormat="1" x14ac:dyDescent="0.2"/>
    <row r="126" s="125" customFormat="1" x14ac:dyDescent="0.2"/>
    <row r="127" s="125" customFormat="1" x14ac:dyDescent="0.2"/>
    <row r="128" s="125" customFormat="1" x14ac:dyDescent="0.2"/>
    <row r="129" s="125" customFormat="1" x14ac:dyDescent="0.2"/>
    <row r="130" s="125" customFormat="1" x14ac:dyDescent="0.2"/>
    <row r="131" s="125" customFormat="1" x14ac:dyDescent="0.2"/>
    <row r="132" s="125" customFormat="1" x14ac:dyDescent="0.2"/>
    <row r="133" s="125" customFormat="1" x14ac:dyDescent="0.2"/>
    <row r="134" s="125" customFormat="1" x14ac:dyDescent="0.2"/>
    <row r="135" s="125" customFormat="1" x14ac:dyDescent="0.2"/>
    <row r="136" s="125" customFormat="1" x14ac:dyDescent="0.2"/>
    <row r="137" s="125" customFormat="1" x14ac:dyDescent="0.2"/>
    <row r="138" s="125" customFormat="1" x14ac:dyDescent="0.2"/>
    <row r="139" s="125" customFormat="1" x14ac:dyDescent="0.2"/>
    <row r="140" s="125" customFormat="1" x14ac:dyDescent="0.2"/>
    <row r="141" s="125" customFormat="1" x14ac:dyDescent="0.2"/>
    <row r="142" s="125" customFormat="1" x14ac:dyDescent="0.2"/>
    <row r="143" s="125" customFormat="1" x14ac:dyDescent="0.2"/>
    <row r="144" s="125" customFormat="1" x14ac:dyDescent="0.2"/>
    <row r="145" s="125" customFormat="1" x14ac:dyDescent="0.2"/>
    <row r="146" s="125" customFormat="1" x14ac:dyDescent="0.2"/>
    <row r="147" s="125" customFormat="1" x14ac:dyDescent="0.2"/>
    <row r="148" s="125" customFormat="1" x14ac:dyDescent="0.2"/>
    <row r="149" s="125" customFormat="1" x14ac:dyDescent="0.2"/>
    <row r="150" s="125" customFormat="1" x14ac:dyDescent="0.2"/>
    <row r="151" s="125" customFormat="1" x14ac:dyDescent="0.2"/>
    <row r="152" s="125" customFormat="1" x14ac:dyDescent="0.2"/>
    <row r="153" s="125" customFormat="1" x14ac:dyDescent="0.2"/>
    <row r="154" s="125" customFormat="1" x14ac:dyDescent="0.2"/>
    <row r="155" s="125" customFormat="1" x14ac:dyDescent="0.2"/>
    <row r="156" s="125" customFormat="1" x14ac:dyDescent="0.2"/>
    <row r="157" s="125" customFormat="1" x14ac:dyDescent="0.2"/>
    <row r="158" s="125" customFormat="1" x14ac:dyDescent="0.2"/>
    <row r="159" s="125" customFormat="1" x14ac:dyDescent="0.2"/>
    <row r="160" s="125" customFormat="1" x14ac:dyDescent="0.2"/>
    <row r="161" s="125" customFormat="1" x14ac:dyDescent="0.2"/>
    <row r="162" s="125" customFormat="1" x14ac:dyDescent="0.2"/>
    <row r="163" s="125" customFormat="1" x14ac:dyDescent="0.2"/>
    <row r="164" s="125" customFormat="1" x14ac:dyDescent="0.2"/>
    <row r="165" s="125" customFormat="1" x14ac:dyDescent="0.2"/>
    <row r="166" s="125" customFormat="1" x14ac:dyDescent="0.2"/>
    <row r="167" s="125" customFormat="1" x14ac:dyDescent="0.2"/>
    <row r="168" s="125" customFormat="1" x14ac:dyDescent="0.2"/>
    <row r="169" s="125" customFormat="1" x14ac:dyDescent="0.2"/>
    <row r="170" s="125" customFormat="1" x14ac:dyDescent="0.2"/>
    <row r="171" s="125" customFormat="1" x14ac:dyDescent="0.2"/>
    <row r="172" s="125" customFormat="1" x14ac:dyDescent="0.2"/>
    <row r="173" s="125" customFormat="1" x14ac:dyDescent="0.2"/>
    <row r="174" s="125" customFormat="1" x14ac:dyDescent="0.2"/>
    <row r="175" s="125" customFormat="1" x14ac:dyDescent="0.2"/>
    <row r="176" s="125" customFormat="1" x14ac:dyDescent="0.2"/>
    <row r="177" s="125" customFormat="1" x14ac:dyDescent="0.2"/>
    <row r="178" s="125" customFormat="1" x14ac:dyDescent="0.2"/>
    <row r="179" s="125" customFormat="1" x14ac:dyDescent="0.2"/>
    <row r="180" s="125" customFormat="1" x14ac:dyDescent="0.2"/>
    <row r="181" s="125" customFormat="1" x14ac:dyDescent="0.2"/>
    <row r="182" s="125" customFormat="1" x14ac:dyDescent="0.2"/>
    <row r="183" s="125" customFormat="1" x14ac:dyDescent="0.2"/>
    <row r="184" s="125" customFormat="1" x14ac:dyDescent="0.2"/>
    <row r="185" s="125" customFormat="1" x14ac:dyDescent="0.2"/>
    <row r="186" s="125" customFormat="1" x14ac:dyDescent="0.2"/>
    <row r="187" s="125" customFormat="1" x14ac:dyDescent="0.2"/>
    <row r="188" s="125" customFormat="1" x14ac:dyDescent="0.2"/>
    <row r="189" s="125" customFormat="1" x14ac:dyDescent="0.2"/>
    <row r="190" s="125" customFormat="1" x14ac:dyDescent="0.2"/>
    <row r="191" s="125" customFormat="1" x14ac:dyDescent="0.2"/>
    <row r="192" s="125" customFormat="1" x14ac:dyDescent="0.2"/>
    <row r="193" s="125" customFormat="1" x14ac:dyDescent="0.2"/>
    <row r="194" s="125" customFormat="1" x14ac:dyDescent="0.2"/>
    <row r="195" s="125" customFormat="1" x14ac:dyDescent="0.2"/>
    <row r="196" s="125" customFormat="1" x14ac:dyDescent="0.2"/>
    <row r="197" s="125" customFormat="1" x14ac:dyDescent="0.2"/>
    <row r="198" s="125" customFormat="1" x14ac:dyDescent="0.2"/>
    <row r="199" s="125" customFormat="1" x14ac:dyDescent="0.2"/>
    <row r="200" s="125" customFormat="1" x14ac:dyDescent="0.2"/>
    <row r="201" s="125" customFormat="1" x14ac:dyDescent="0.2"/>
    <row r="202" s="125" customFormat="1" x14ac:dyDescent="0.2"/>
    <row r="203" s="125" customFormat="1" x14ac:dyDescent="0.2"/>
    <row r="204" s="125" customFormat="1" x14ac:dyDescent="0.2"/>
    <row r="205" s="125" customFormat="1" x14ac:dyDescent="0.2"/>
    <row r="206" s="125" customFormat="1" x14ac:dyDescent="0.2"/>
    <row r="207" s="125" customFormat="1" x14ac:dyDescent="0.2"/>
    <row r="208" s="125" customFormat="1" x14ac:dyDescent="0.2"/>
    <row r="209" s="125" customFormat="1" x14ac:dyDescent="0.2"/>
    <row r="210" s="125" customFormat="1" x14ac:dyDescent="0.2"/>
    <row r="211" s="125" customFormat="1" x14ac:dyDescent="0.2"/>
    <row r="212" s="125" customFormat="1" x14ac:dyDescent="0.2"/>
    <row r="213" s="125" customFormat="1" x14ac:dyDescent="0.2"/>
    <row r="214" s="125" customFormat="1" x14ac:dyDescent="0.2"/>
    <row r="215" s="125" customFormat="1" x14ac:dyDescent="0.2"/>
    <row r="216" s="125" customFormat="1" x14ac:dyDescent="0.2"/>
    <row r="217" s="125" customFormat="1" x14ac:dyDescent="0.2"/>
    <row r="218" s="125" customFormat="1" x14ac:dyDescent="0.2"/>
    <row r="219" s="125" customFormat="1" x14ac:dyDescent="0.2"/>
    <row r="220" s="125" customFormat="1" x14ac:dyDescent="0.2"/>
    <row r="221" s="125" customFormat="1" x14ac:dyDescent="0.2"/>
    <row r="222" s="125" customFormat="1" x14ac:dyDescent="0.2"/>
    <row r="223" s="125" customFormat="1" x14ac:dyDescent="0.2"/>
    <row r="224" s="125" customFormat="1" x14ac:dyDescent="0.2"/>
    <row r="225" s="125" customFormat="1" x14ac:dyDescent="0.2"/>
    <row r="226" s="125" customFormat="1" x14ac:dyDescent="0.2"/>
    <row r="227" s="125" customFormat="1" x14ac:dyDescent="0.2"/>
    <row r="228" s="125" customFormat="1" x14ac:dyDescent="0.2"/>
    <row r="229" s="125" customFormat="1" x14ac:dyDescent="0.2"/>
    <row r="230" s="125" customFormat="1" x14ac:dyDescent="0.2"/>
    <row r="231" s="125" customFormat="1" x14ac:dyDescent="0.2"/>
    <row r="232" s="125" customFormat="1" x14ac:dyDescent="0.2"/>
    <row r="233" s="125" customFormat="1" x14ac:dyDescent="0.2"/>
    <row r="234" s="125" customFormat="1" x14ac:dyDescent="0.2"/>
    <row r="235" s="125" customFormat="1" x14ac:dyDescent="0.2"/>
    <row r="236" s="125" customFormat="1" x14ac:dyDescent="0.2"/>
    <row r="237" s="125" customFormat="1" x14ac:dyDescent="0.2"/>
    <row r="238" s="125" customFormat="1" x14ac:dyDescent="0.2"/>
    <row r="239" s="125" customFormat="1" x14ac:dyDescent="0.2"/>
    <row r="240" s="125" customFormat="1" x14ac:dyDescent="0.2"/>
    <row r="241" s="125" customFormat="1" x14ac:dyDescent="0.2"/>
    <row r="242" s="125" customFormat="1" x14ac:dyDescent="0.2"/>
    <row r="243" s="125" customFormat="1" x14ac:dyDescent="0.2"/>
    <row r="244" s="125" customFormat="1" x14ac:dyDescent="0.2"/>
    <row r="245" s="125" customFormat="1" x14ac:dyDescent="0.2"/>
    <row r="246" s="125" customFormat="1" x14ac:dyDescent="0.2"/>
    <row r="247" s="125" customFormat="1" x14ac:dyDescent="0.2"/>
    <row r="248" s="125" customFormat="1" x14ac:dyDescent="0.2"/>
    <row r="249" s="125" customFormat="1" x14ac:dyDescent="0.2"/>
    <row r="250" s="125" customFormat="1" x14ac:dyDescent="0.2"/>
    <row r="251" s="125" customFormat="1" x14ac:dyDescent="0.2"/>
    <row r="252" s="125" customFormat="1" x14ac:dyDescent="0.2"/>
    <row r="253" s="125" customFormat="1" x14ac:dyDescent="0.2"/>
    <row r="254" s="125" customFormat="1" x14ac:dyDescent="0.2"/>
    <row r="255" s="125" customFormat="1" x14ac:dyDescent="0.2"/>
    <row r="256" s="125" customFormat="1" x14ac:dyDescent="0.2"/>
    <row r="257" s="125" customFormat="1" x14ac:dyDescent="0.2"/>
    <row r="258" s="125" customFormat="1" x14ac:dyDescent="0.2"/>
    <row r="259" s="125" customFormat="1" x14ac:dyDescent="0.2"/>
    <row r="260" s="125" customFormat="1" x14ac:dyDescent="0.2"/>
    <row r="261" s="125" customFormat="1" x14ac:dyDescent="0.2"/>
    <row r="262" s="125" customFormat="1" x14ac:dyDescent="0.2"/>
    <row r="263" s="125" customFormat="1" x14ac:dyDescent="0.2"/>
    <row r="264" s="125" customFormat="1" x14ac:dyDescent="0.2"/>
    <row r="265" s="125" customFormat="1" x14ac:dyDescent="0.2"/>
    <row r="266" s="125" customFormat="1" x14ac:dyDescent="0.2"/>
    <row r="267" s="125" customFormat="1" x14ac:dyDescent="0.2"/>
    <row r="268" s="125" customFormat="1" x14ac:dyDescent="0.2"/>
    <row r="269" s="125" customFormat="1" x14ac:dyDescent="0.2"/>
    <row r="270" s="125" customFormat="1" x14ac:dyDescent="0.2"/>
    <row r="271" s="125" customFormat="1" x14ac:dyDescent="0.2"/>
    <row r="272" s="125" customFormat="1" x14ac:dyDescent="0.2"/>
    <row r="273" s="125" customFormat="1" x14ac:dyDescent="0.2"/>
    <row r="274" s="125" customFormat="1" x14ac:dyDescent="0.2"/>
    <row r="275" s="125" customFormat="1" x14ac:dyDescent="0.2"/>
    <row r="276" s="125" customFormat="1" x14ac:dyDescent="0.2"/>
    <row r="277" s="125" customFormat="1" x14ac:dyDescent="0.2"/>
    <row r="278" s="125" customFormat="1" x14ac:dyDescent="0.2"/>
    <row r="279" s="125" customFormat="1" x14ac:dyDescent="0.2"/>
    <row r="280" s="125" customFormat="1" x14ac:dyDescent="0.2"/>
    <row r="281" s="125" customFormat="1" x14ac:dyDescent="0.2"/>
    <row r="282" s="125" customFormat="1" x14ac:dyDescent="0.2"/>
    <row r="283" s="125" customFormat="1" x14ac:dyDescent="0.2"/>
    <row r="284" s="125" customFormat="1" x14ac:dyDescent="0.2"/>
    <row r="285" s="125" customFormat="1" x14ac:dyDescent="0.2"/>
    <row r="286" s="125" customFormat="1" x14ac:dyDescent="0.2"/>
    <row r="287" s="125" customFormat="1" x14ac:dyDescent="0.2"/>
    <row r="288" s="125" customFormat="1" x14ac:dyDescent="0.2"/>
    <row r="289" s="125" customFormat="1" x14ac:dyDescent="0.2"/>
    <row r="290" s="125" customFormat="1" x14ac:dyDescent="0.2"/>
    <row r="291" s="125" customFormat="1" x14ac:dyDescent="0.2"/>
    <row r="292" s="125" customFormat="1" x14ac:dyDescent="0.2"/>
    <row r="293" s="125" customFormat="1" x14ac:dyDescent="0.2"/>
    <row r="294" s="125" customFormat="1" x14ac:dyDescent="0.2"/>
    <row r="295" s="125" customFormat="1" x14ac:dyDescent="0.2"/>
    <row r="296" s="125" customFormat="1" x14ac:dyDescent="0.2"/>
    <row r="297" s="125" customFormat="1" x14ac:dyDescent="0.2"/>
    <row r="298" s="125" customFormat="1" x14ac:dyDescent="0.2"/>
    <row r="299" s="125" customFormat="1" x14ac:dyDescent="0.2"/>
    <row r="300" s="125" customFormat="1" x14ac:dyDescent="0.2"/>
    <row r="301" s="125" customFormat="1" x14ac:dyDescent="0.2"/>
    <row r="302" s="125" customFormat="1" x14ac:dyDescent="0.2"/>
    <row r="303" s="125" customFormat="1" x14ac:dyDescent="0.2"/>
    <row r="304" s="125" customFormat="1" x14ac:dyDescent="0.2"/>
    <row r="305" s="125" customFormat="1" x14ac:dyDescent="0.2"/>
    <row r="306" s="125" customFormat="1" x14ac:dyDescent="0.2"/>
    <row r="307" s="125" customFormat="1" x14ac:dyDescent="0.2"/>
    <row r="308" s="125" customFormat="1" x14ac:dyDescent="0.2"/>
    <row r="309" s="125" customFormat="1" x14ac:dyDescent="0.2"/>
    <row r="310" s="125" customFormat="1" x14ac:dyDescent="0.2"/>
    <row r="311" s="125" customFormat="1" x14ac:dyDescent="0.2"/>
    <row r="312" s="125" customFormat="1" x14ac:dyDescent="0.2"/>
    <row r="313" s="125" customFormat="1" x14ac:dyDescent="0.2"/>
    <row r="314" s="125" customFormat="1" x14ac:dyDescent="0.2"/>
    <row r="315" s="125" customFormat="1" x14ac:dyDescent="0.2"/>
    <row r="316" s="125" customFormat="1" x14ac:dyDescent="0.2"/>
    <row r="317" s="125" customFormat="1" x14ac:dyDescent="0.2"/>
    <row r="318" s="125" customFormat="1" x14ac:dyDescent="0.2"/>
    <row r="319" s="125" customFormat="1" x14ac:dyDescent="0.2"/>
    <row r="320" s="125" customFormat="1" x14ac:dyDescent="0.2"/>
    <row r="321" s="125" customFormat="1" x14ac:dyDescent="0.2"/>
    <row r="322" s="125" customFormat="1" x14ac:dyDescent="0.2"/>
    <row r="323" s="125" customFormat="1" x14ac:dyDescent="0.2"/>
    <row r="324" s="125" customFormat="1" x14ac:dyDescent="0.2"/>
    <row r="325" s="125" customFormat="1" x14ac:dyDescent="0.2"/>
    <row r="326" s="125" customFormat="1" x14ac:dyDescent="0.2"/>
    <row r="327" s="125" customFormat="1" x14ac:dyDescent="0.2"/>
    <row r="328" s="125" customFormat="1" x14ac:dyDescent="0.2"/>
    <row r="329" s="125" customFormat="1" x14ac:dyDescent="0.2"/>
    <row r="330" s="125" customFormat="1" x14ac:dyDescent="0.2"/>
    <row r="331" s="125" customFormat="1" x14ac:dyDescent="0.2"/>
    <row r="332" s="125" customFormat="1" x14ac:dyDescent="0.2"/>
    <row r="333" s="125" customFormat="1" x14ac:dyDescent="0.2"/>
    <row r="334" s="125" customFormat="1" x14ac:dyDescent="0.2"/>
    <row r="335" s="125" customFormat="1" x14ac:dyDescent="0.2"/>
    <row r="336" s="125" customFormat="1" x14ac:dyDescent="0.2"/>
    <row r="337" s="125" customFormat="1" x14ac:dyDescent="0.2"/>
    <row r="338" s="125" customFormat="1" x14ac:dyDescent="0.2"/>
    <row r="339" s="125" customFormat="1" x14ac:dyDescent="0.2"/>
    <row r="340" s="125" customFormat="1" x14ac:dyDescent="0.2"/>
    <row r="341" s="125" customFormat="1" x14ac:dyDescent="0.2"/>
    <row r="342" s="125" customFormat="1" x14ac:dyDescent="0.2"/>
    <row r="343" s="125" customFormat="1" x14ac:dyDescent="0.2"/>
    <row r="344" s="125" customFormat="1" x14ac:dyDescent="0.2"/>
    <row r="345" s="125" customFormat="1" x14ac:dyDescent="0.2"/>
    <row r="346" s="125" customFormat="1" x14ac:dyDescent="0.2"/>
    <row r="347" s="125" customFormat="1" x14ac:dyDescent="0.2"/>
    <row r="348" s="125" customFormat="1" x14ac:dyDescent="0.2"/>
    <row r="349" s="125" customFormat="1" x14ac:dyDescent="0.2"/>
    <row r="350" s="125" customFormat="1" x14ac:dyDescent="0.2"/>
    <row r="351" s="125" customFormat="1" x14ac:dyDescent="0.2"/>
    <row r="352" s="125" customFormat="1" x14ac:dyDescent="0.2"/>
    <row r="353" s="125" customFormat="1" x14ac:dyDescent="0.2"/>
    <row r="354" s="125" customFormat="1" x14ac:dyDescent="0.2"/>
    <row r="355" s="125" customFormat="1" x14ac:dyDescent="0.2"/>
    <row r="356" s="125" customFormat="1" x14ac:dyDescent="0.2"/>
    <row r="357" s="125" customFormat="1" x14ac:dyDescent="0.2"/>
    <row r="358" s="125" customFormat="1" x14ac:dyDescent="0.2"/>
    <row r="359" s="125" customFormat="1" x14ac:dyDescent="0.2"/>
    <row r="360" s="125" customFormat="1" x14ac:dyDescent="0.2"/>
    <row r="361" s="125" customFormat="1" x14ac:dyDescent="0.2"/>
    <row r="362" s="125" customFormat="1" x14ac:dyDescent="0.2"/>
    <row r="363" s="125" customFormat="1" x14ac:dyDescent="0.2"/>
    <row r="364" s="125" customFormat="1" x14ac:dyDescent="0.2"/>
    <row r="365" s="125" customFormat="1" x14ac:dyDescent="0.2"/>
    <row r="366" s="125" customFormat="1" x14ac:dyDescent="0.2"/>
    <row r="367" s="125" customFormat="1" x14ac:dyDescent="0.2"/>
    <row r="368" s="125" customFormat="1" x14ac:dyDescent="0.2"/>
    <row r="369" s="125" customFormat="1" x14ac:dyDescent="0.2"/>
    <row r="370" s="125" customFormat="1" x14ac:dyDescent="0.2"/>
    <row r="371" s="125" customFormat="1" x14ac:dyDescent="0.2"/>
    <row r="372" s="125" customFormat="1" x14ac:dyDescent="0.2"/>
    <row r="373" s="125" customFormat="1" x14ac:dyDescent="0.2"/>
    <row r="374" s="125" customFormat="1" x14ac:dyDescent="0.2"/>
    <row r="375" s="125" customFormat="1" x14ac:dyDescent="0.2"/>
    <row r="376" s="125" customFormat="1" x14ac:dyDescent="0.2"/>
    <row r="377" s="125" customFormat="1" x14ac:dyDescent="0.2"/>
    <row r="378" s="125" customFormat="1" x14ac:dyDescent="0.2"/>
    <row r="379" s="125" customFormat="1" x14ac:dyDescent="0.2"/>
    <row r="380" s="125" customFormat="1" x14ac:dyDescent="0.2"/>
    <row r="381" s="125" customFormat="1" x14ac:dyDescent="0.2"/>
    <row r="382" s="125" customFormat="1" x14ac:dyDescent="0.2"/>
    <row r="383" s="125" customFormat="1" x14ac:dyDescent="0.2"/>
    <row r="384" s="125" customFormat="1" x14ac:dyDescent="0.2"/>
    <row r="385" s="125" customFormat="1" x14ac:dyDescent="0.2"/>
    <row r="386" s="125" customFormat="1" x14ac:dyDescent="0.2"/>
    <row r="387" s="125" customFormat="1" x14ac:dyDescent="0.2"/>
    <row r="388" s="125" customFormat="1" x14ac:dyDescent="0.2"/>
    <row r="389" s="125" customFormat="1" x14ac:dyDescent="0.2"/>
    <row r="390" s="125" customFormat="1" x14ac:dyDescent="0.2"/>
    <row r="391" s="125" customFormat="1" x14ac:dyDescent="0.2"/>
    <row r="392" s="125" customFormat="1" x14ac:dyDescent="0.2"/>
    <row r="393" s="125" customFormat="1" x14ac:dyDescent="0.2"/>
    <row r="394" s="125" customFormat="1" x14ac:dyDescent="0.2"/>
    <row r="395" s="125" customFormat="1" x14ac:dyDescent="0.2"/>
    <row r="396" s="125" customFormat="1" x14ac:dyDescent="0.2"/>
    <row r="397" s="125" customFormat="1" x14ac:dyDescent="0.2"/>
    <row r="398" s="125" customFormat="1" x14ac:dyDescent="0.2"/>
    <row r="399" s="125" customFormat="1" x14ac:dyDescent="0.2"/>
    <row r="400" s="125" customFormat="1" x14ac:dyDescent="0.2"/>
    <row r="401" s="125" customFormat="1" x14ac:dyDescent="0.2"/>
    <row r="402" s="125" customFormat="1" x14ac:dyDescent="0.2"/>
    <row r="403" s="125" customFormat="1" x14ac:dyDescent="0.2"/>
    <row r="404" s="125" customFormat="1" x14ac:dyDescent="0.2"/>
    <row r="405" s="125" customFormat="1" x14ac:dyDescent="0.2"/>
    <row r="406" s="125" customFormat="1" x14ac:dyDescent="0.2"/>
    <row r="407" s="125" customFormat="1" x14ac:dyDescent="0.2"/>
    <row r="408" s="125" customFormat="1" x14ac:dyDescent="0.2"/>
    <row r="409" s="125" customFormat="1" x14ac:dyDescent="0.2"/>
    <row r="410" s="125" customFormat="1" x14ac:dyDescent="0.2"/>
    <row r="411" s="125" customFormat="1" x14ac:dyDescent="0.2"/>
    <row r="412" s="125" customFormat="1" x14ac:dyDescent="0.2"/>
    <row r="413" s="125" customFormat="1" x14ac:dyDescent="0.2"/>
    <row r="414" s="125" customFormat="1" x14ac:dyDescent="0.2"/>
    <row r="415" s="125" customFormat="1" x14ac:dyDescent="0.2"/>
    <row r="416" s="125" customFormat="1" x14ac:dyDescent="0.2"/>
    <row r="417" s="125" customFormat="1" x14ac:dyDescent="0.2"/>
    <row r="418" s="125" customFormat="1" x14ac:dyDescent="0.2"/>
    <row r="419" s="125" customFormat="1" x14ac:dyDescent="0.2"/>
    <row r="420" s="125" customFormat="1" x14ac:dyDescent="0.2"/>
    <row r="421" s="125" customFormat="1" x14ac:dyDescent="0.2"/>
    <row r="422" s="125" customFormat="1" x14ac:dyDescent="0.2"/>
    <row r="423" s="125" customFormat="1" x14ac:dyDescent="0.2"/>
    <row r="424" s="125" customFormat="1" x14ac:dyDescent="0.2"/>
    <row r="425" s="125" customFormat="1" x14ac:dyDescent="0.2"/>
    <row r="426" s="125" customFormat="1" x14ac:dyDescent="0.2"/>
  </sheetData>
  <sheetProtection algorithmName="SHA-512" hashValue="zvwcc347Mlqp6XM8R28o7qjDCjLt/ZP5K8yCZuAfI+dlaZPBETBwb+bTYMUd2bVIq+MoRt8LV+foKRcbHiRCXA==" saltValue="bi1KeJ92AGhIeHtsKgUblQ==" spinCount="100000" sheet="1" objects="1" scenarios="1"/>
  <mergeCells count="9">
    <mergeCell ref="C36:H36"/>
    <mergeCell ref="C37:H37"/>
    <mergeCell ref="C3:H3"/>
    <mergeCell ref="C5:H5"/>
    <mergeCell ref="G8:G9"/>
    <mergeCell ref="H8:H9"/>
    <mergeCell ref="C8:C9"/>
    <mergeCell ref="G7:H7"/>
    <mergeCell ref="D7:E7"/>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BD130"/>
  <sheetViews>
    <sheetView zoomScaleNormal="100" zoomScaleSheetLayoutView="100" workbookViewId="0">
      <selection activeCell="D21" sqref="D21"/>
    </sheetView>
  </sheetViews>
  <sheetFormatPr defaultRowHeight="15" x14ac:dyDescent="0.2"/>
  <cols>
    <col min="1" max="1" width="9.140625" style="144"/>
    <col min="2" max="2" width="3.140625" style="145" customWidth="1"/>
    <col min="3" max="3" width="4.140625" style="145" bestFit="1" customWidth="1"/>
    <col min="4" max="4" width="194.42578125" style="145" customWidth="1"/>
    <col min="5" max="5" width="3" style="145" customWidth="1"/>
    <col min="6" max="56" width="9.140625" style="144"/>
    <col min="57" max="16384" width="9.140625" style="145"/>
  </cols>
  <sheetData>
    <row r="1" spans="3:4" s="144" customFormat="1" ht="32.25" customHeight="1" x14ac:dyDescent="0.2"/>
    <row r="2" spans="3:4" ht="10.5" customHeight="1" x14ac:dyDescent="0.2"/>
    <row r="3" spans="3:4" ht="21" x14ac:dyDescent="0.2">
      <c r="C3" s="198" t="s">
        <v>537</v>
      </c>
      <c r="D3" s="198"/>
    </row>
    <row r="4" spans="3:4" ht="12" customHeight="1" x14ac:dyDescent="0.2">
      <c r="D4" s="148"/>
    </row>
    <row r="5" spans="3:4" ht="34.5" customHeight="1" x14ac:dyDescent="0.2">
      <c r="D5" s="52" t="s">
        <v>491</v>
      </c>
    </row>
    <row r="6" spans="3:4" ht="7.5" customHeight="1" x14ac:dyDescent="0.2"/>
    <row r="7" spans="3:4" ht="23.25" customHeight="1" x14ac:dyDescent="0.2">
      <c r="C7" s="146" t="s">
        <v>525</v>
      </c>
      <c r="D7" s="147" t="s">
        <v>460</v>
      </c>
    </row>
    <row r="8" spans="3:4" ht="30" x14ac:dyDescent="0.2">
      <c r="C8" s="146"/>
      <c r="D8" s="145" t="s">
        <v>524</v>
      </c>
    </row>
    <row r="9" spans="3:4" ht="30" x14ac:dyDescent="0.2">
      <c r="C9" s="146"/>
      <c r="D9" s="145" t="s">
        <v>518</v>
      </c>
    </row>
    <row r="11" spans="3:4" ht="22.5" customHeight="1" x14ac:dyDescent="0.2">
      <c r="C11" s="147" t="s">
        <v>526</v>
      </c>
      <c r="D11" s="147" t="s">
        <v>471</v>
      </c>
    </row>
    <row r="12" spans="3:4" ht="30.75" customHeight="1" x14ac:dyDescent="0.2">
      <c r="D12" s="145" t="s">
        <v>519</v>
      </c>
    </row>
    <row r="13" spans="3:4" ht="11.25" customHeight="1" x14ac:dyDescent="0.2"/>
    <row r="14" spans="3:4" ht="24" customHeight="1" x14ac:dyDescent="0.2">
      <c r="C14" s="146" t="s">
        <v>527</v>
      </c>
      <c r="D14" s="147" t="s">
        <v>506</v>
      </c>
    </row>
    <row r="15" spans="3:4" ht="31.5" customHeight="1" x14ac:dyDescent="0.2">
      <c r="D15" s="145" t="s">
        <v>520</v>
      </c>
    </row>
    <row r="16" spans="3:4" ht="64.5" customHeight="1" x14ac:dyDescent="0.2">
      <c r="D16" s="145" t="s">
        <v>521</v>
      </c>
    </row>
    <row r="17" spans="3:4" ht="15" customHeight="1" x14ac:dyDescent="0.2">
      <c r="D17" s="145" t="s">
        <v>508</v>
      </c>
    </row>
    <row r="18" spans="3:4" ht="32.25" customHeight="1" x14ac:dyDescent="0.2">
      <c r="D18" s="145" t="s">
        <v>522</v>
      </c>
    </row>
    <row r="20" spans="3:4" ht="23.25" customHeight="1" x14ac:dyDescent="0.2">
      <c r="C20" s="146" t="s">
        <v>528</v>
      </c>
      <c r="D20" s="147" t="s">
        <v>466</v>
      </c>
    </row>
    <row r="21" spans="3:4" ht="63" customHeight="1" x14ac:dyDescent="0.2">
      <c r="D21" s="163" t="s">
        <v>562</v>
      </c>
    </row>
    <row r="22" spans="3:4" ht="29.25" customHeight="1" x14ac:dyDescent="0.2">
      <c r="D22" s="145" t="s">
        <v>510</v>
      </c>
    </row>
    <row r="23" spans="3:4" ht="18.75" customHeight="1" x14ac:dyDescent="0.2">
      <c r="D23" s="145" t="s">
        <v>511</v>
      </c>
    </row>
    <row r="24" spans="3:4" ht="31.5" customHeight="1" x14ac:dyDescent="0.2">
      <c r="D24" s="145" t="s">
        <v>563</v>
      </c>
    </row>
    <row r="26" spans="3:4" ht="26.25" customHeight="1" x14ac:dyDescent="0.2">
      <c r="C26" s="146" t="s">
        <v>529</v>
      </c>
      <c r="D26" s="147" t="s">
        <v>467</v>
      </c>
    </row>
    <row r="27" spans="3:4" ht="30" customHeight="1" x14ac:dyDescent="0.2">
      <c r="D27" s="145" t="s">
        <v>512</v>
      </c>
    </row>
    <row r="28" spans="3:4" x14ac:dyDescent="0.2">
      <c r="D28" s="145" t="s">
        <v>513</v>
      </c>
    </row>
    <row r="30" spans="3:4" ht="25.5" customHeight="1" x14ac:dyDescent="0.2">
      <c r="C30" s="146" t="s">
        <v>530</v>
      </c>
      <c r="D30" s="147" t="s">
        <v>468</v>
      </c>
    </row>
    <row r="31" spans="3:4" ht="33.75" customHeight="1" x14ac:dyDescent="0.2">
      <c r="C31" s="149"/>
      <c r="D31" s="145" t="s">
        <v>515</v>
      </c>
    </row>
    <row r="32" spans="3:4" ht="30.75" customHeight="1" x14ac:dyDescent="0.2">
      <c r="C32" s="149"/>
      <c r="D32" s="145" t="s">
        <v>516</v>
      </c>
    </row>
    <row r="33" spans="4:9" ht="30" x14ac:dyDescent="0.2">
      <c r="D33" s="145" t="s">
        <v>517</v>
      </c>
    </row>
    <row r="34" spans="4:9" ht="13.5" customHeight="1" x14ac:dyDescent="0.25">
      <c r="D34" s="183" t="s">
        <v>496</v>
      </c>
      <c r="E34" s="150"/>
      <c r="F34" s="151"/>
      <c r="G34" s="151"/>
      <c r="H34" s="151"/>
      <c r="I34" s="151"/>
    </row>
    <row r="35" spans="4:9" x14ac:dyDescent="0.2">
      <c r="D35" s="184" t="s">
        <v>564</v>
      </c>
      <c r="E35" s="152"/>
      <c r="F35" s="153"/>
      <c r="G35" s="153"/>
      <c r="H35" s="153"/>
      <c r="I35" s="153"/>
    </row>
    <row r="37" spans="4:9" s="144" customFormat="1" ht="13.5" customHeight="1" x14ac:dyDescent="0.2"/>
    <row r="38" spans="4:9" s="144" customFormat="1" ht="13.5" customHeight="1" x14ac:dyDescent="0.2"/>
    <row r="39" spans="4:9" s="144" customFormat="1" ht="13.5" customHeight="1" x14ac:dyDescent="0.2"/>
    <row r="40" spans="4:9" s="144" customFormat="1" ht="13.5" customHeight="1" x14ac:dyDescent="0.2"/>
    <row r="41" spans="4:9" s="144" customFormat="1" ht="13.5" customHeight="1" x14ac:dyDescent="0.2"/>
    <row r="42" spans="4:9" s="144" customFormat="1" ht="13.5" customHeight="1" x14ac:dyDescent="0.2"/>
    <row r="43" spans="4:9" s="144" customFormat="1" ht="13.5" customHeight="1" x14ac:dyDescent="0.2"/>
    <row r="44" spans="4:9" s="144" customFormat="1" ht="13.5" customHeight="1" x14ac:dyDescent="0.2"/>
    <row r="45" spans="4:9" s="144" customFormat="1" ht="13.5" customHeight="1" x14ac:dyDescent="0.2"/>
    <row r="46" spans="4:9" s="144" customFormat="1" ht="13.5" customHeight="1" x14ac:dyDescent="0.2"/>
    <row r="47" spans="4:9" s="144" customFormat="1" ht="13.5" customHeight="1" x14ac:dyDescent="0.2"/>
    <row r="48" spans="4:9" s="144" customFormat="1" ht="13.5" customHeight="1" x14ac:dyDescent="0.2"/>
    <row r="49" s="144" customFormat="1" ht="13.5" customHeight="1" x14ac:dyDescent="0.2"/>
    <row r="50" s="144" customFormat="1" ht="13.5" customHeight="1" x14ac:dyDescent="0.2"/>
    <row r="51" s="144" customFormat="1" ht="13.5" customHeight="1" x14ac:dyDescent="0.2"/>
    <row r="52" s="144" customFormat="1" ht="13.5" customHeight="1" x14ac:dyDescent="0.2"/>
    <row r="53" s="144" customFormat="1" ht="13.5" customHeight="1" x14ac:dyDescent="0.2"/>
    <row r="54" s="144" customFormat="1" ht="13.5" customHeight="1" x14ac:dyDescent="0.2"/>
    <row r="55" s="144" customFormat="1" ht="13.5" customHeight="1" x14ac:dyDescent="0.2"/>
    <row r="56" s="144" customFormat="1" ht="13.5" customHeight="1" x14ac:dyDescent="0.2"/>
    <row r="57" s="144" customFormat="1" ht="13.5" customHeight="1" x14ac:dyDescent="0.2"/>
    <row r="58" s="144" customFormat="1" ht="13.5" customHeight="1" x14ac:dyDescent="0.2"/>
    <row r="59" s="144" customFormat="1" ht="13.5" customHeight="1" x14ac:dyDescent="0.2"/>
    <row r="60" s="144" customFormat="1" ht="13.5" customHeight="1" x14ac:dyDescent="0.2"/>
    <row r="61" s="144" customFormat="1" ht="13.5" customHeight="1" x14ac:dyDescent="0.2"/>
    <row r="62" s="144" customFormat="1" ht="13.5" customHeight="1" x14ac:dyDescent="0.2"/>
    <row r="63" s="144" customFormat="1" ht="13.5" customHeight="1" x14ac:dyDescent="0.2"/>
    <row r="64" s="144" customFormat="1" ht="13.5" customHeight="1" x14ac:dyDescent="0.2"/>
    <row r="65" s="144" customFormat="1" ht="13.5" customHeight="1" x14ac:dyDescent="0.2"/>
    <row r="66" s="144" customFormat="1" ht="13.5" customHeight="1" x14ac:dyDescent="0.2"/>
    <row r="67" s="144" customFormat="1" ht="13.5" customHeight="1" x14ac:dyDescent="0.2"/>
    <row r="68" s="144" customFormat="1" ht="13.5" customHeight="1" x14ac:dyDescent="0.2"/>
    <row r="69" s="144" customFormat="1" ht="13.5" customHeight="1" x14ac:dyDescent="0.2"/>
    <row r="70" s="144" customFormat="1" ht="13.5" customHeight="1" x14ac:dyDescent="0.2"/>
    <row r="71" s="144" customFormat="1" ht="13.5" customHeight="1" x14ac:dyDescent="0.2"/>
    <row r="72" s="144" customFormat="1" ht="13.5" customHeight="1" x14ac:dyDescent="0.2"/>
    <row r="73" s="144" customFormat="1" ht="13.5" customHeight="1" x14ac:dyDescent="0.2"/>
    <row r="74" s="144" customFormat="1" ht="13.5" customHeight="1" x14ac:dyDescent="0.2"/>
    <row r="75" s="144" customFormat="1" ht="13.5" customHeight="1" x14ac:dyDescent="0.2"/>
    <row r="76" s="144" customFormat="1" ht="13.5" customHeight="1" x14ac:dyDescent="0.2"/>
    <row r="77" s="144" customFormat="1" ht="13.5" customHeight="1" x14ac:dyDescent="0.2"/>
    <row r="78" s="144" customFormat="1" ht="13.5" customHeight="1" x14ac:dyDescent="0.2"/>
    <row r="79" s="144" customFormat="1" ht="13.5" customHeight="1" x14ac:dyDescent="0.2"/>
    <row r="80" s="144" customFormat="1" ht="13.5" customHeight="1" x14ac:dyDescent="0.2"/>
    <row r="81" s="144" customFormat="1" ht="13.5" customHeight="1" x14ac:dyDescent="0.2"/>
    <row r="82" s="144" customFormat="1" ht="13.5" customHeight="1" x14ac:dyDescent="0.2"/>
    <row r="83" s="144" customFormat="1" ht="13.5" customHeight="1" x14ac:dyDescent="0.2"/>
    <row r="84" s="144" customFormat="1" ht="13.5" customHeight="1" x14ac:dyDescent="0.2"/>
    <row r="85" s="144" customFormat="1" ht="13.5" customHeight="1" x14ac:dyDescent="0.2"/>
    <row r="86" s="144" customFormat="1" ht="13.5" customHeight="1" x14ac:dyDescent="0.2"/>
    <row r="87" s="144" customFormat="1" ht="13.5" customHeight="1" x14ac:dyDescent="0.2"/>
    <row r="88" s="144" customFormat="1" ht="13.5" customHeight="1" x14ac:dyDescent="0.2"/>
    <row r="89" s="144" customFormat="1" ht="13.5" customHeight="1" x14ac:dyDescent="0.2"/>
    <row r="90" s="144" customFormat="1" ht="13.5" customHeight="1" x14ac:dyDescent="0.2"/>
    <row r="91" s="144" customFormat="1" ht="13.5" customHeight="1" x14ac:dyDescent="0.2"/>
    <row r="92" s="144" customFormat="1" ht="13.5" customHeight="1" x14ac:dyDescent="0.2"/>
    <row r="93" s="144" customFormat="1" ht="13.5" customHeight="1" x14ac:dyDescent="0.2"/>
    <row r="94" s="144" customFormat="1" ht="13.5" customHeight="1" x14ac:dyDescent="0.2"/>
    <row r="95" s="144" customFormat="1" ht="13.5" customHeight="1" x14ac:dyDescent="0.2"/>
    <row r="96" s="144" customFormat="1" ht="13.5" customHeight="1" x14ac:dyDescent="0.2"/>
    <row r="97" s="144" customFormat="1" ht="13.5" customHeight="1" x14ac:dyDescent="0.2"/>
    <row r="98" s="144" customFormat="1" ht="13.5" customHeight="1" x14ac:dyDescent="0.2"/>
    <row r="99" s="144" customFormat="1" ht="13.5" customHeight="1" x14ac:dyDescent="0.2"/>
    <row r="100" s="144" customFormat="1" ht="13.5" customHeight="1" x14ac:dyDescent="0.2"/>
    <row r="101" s="144" customFormat="1" ht="13.5" customHeight="1" x14ac:dyDescent="0.2"/>
    <row r="102" s="144" customFormat="1" ht="13.5" customHeight="1" x14ac:dyDescent="0.2"/>
    <row r="103" s="144" customFormat="1" ht="13.5" customHeight="1" x14ac:dyDescent="0.2"/>
    <row r="104" s="144" customFormat="1" ht="13.5" customHeight="1" x14ac:dyDescent="0.2"/>
    <row r="105" s="144" customFormat="1" ht="13.5" customHeight="1" x14ac:dyDescent="0.2"/>
    <row r="106" s="144" customFormat="1" ht="13.5" customHeight="1" x14ac:dyDescent="0.2"/>
    <row r="107" s="144" customFormat="1" ht="13.5" customHeight="1" x14ac:dyDescent="0.2"/>
    <row r="108" s="144" customFormat="1" ht="13.5" customHeight="1" x14ac:dyDescent="0.2"/>
    <row r="109" s="144" customFormat="1" ht="13.5" customHeight="1" x14ac:dyDescent="0.2"/>
    <row r="110" s="144" customFormat="1" ht="13.5" customHeight="1" x14ac:dyDescent="0.2"/>
    <row r="111" s="144" customFormat="1" ht="13.5" customHeight="1" x14ac:dyDescent="0.2"/>
    <row r="112" s="144" customFormat="1" ht="13.5" customHeight="1" x14ac:dyDescent="0.2"/>
    <row r="113" s="144" customFormat="1" ht="13.5" customHeight="1" x14ac:dyDescent="0.2"/>
    <row r="114" s="144" customFormat="1" ht="13.5" customHeight="1" x14ac:dyDescent="0.2"/>
    <row r="115" s="144" customFormat="1" ht="13.5" customHeight="1" x14ac:dyDescent="0.2"/>
    <row r="116" s="144" customFormat="1" ht="13.5" customHeight="1" x14ac:dyDescent="0.2"/>
    <row r="117" s="144" customFormat="1" ht="13.5" customHeight="1" x14ac:dyDescent="0.2"/>
    <row r="118" s="144" customFormat="1" ht="13.5" customHeight="1" x14ac:dyDescent="0.2"/>
    <row r="119" s="144" customFormat="1" ht="13.5" customHeight="1" x14ac:dyDescent="0.2"/>
    <row r="120" s="144" customFormat="1" ht="13.5" customHeight="1" x14ac:dyDescent="0.2"/>
    <row r="121" s="144" customFormat="1" ht="13.5" customHeight="1" x14ac:dyDescent="0.2"/>
    <row r="122" s="144" customFormat="1" ht="13.5" customHeight="1" x14ac:dyDescent="0.2"/>
    <row r="123" s="144" customFormat="1" ht="13.5" customHeight="1" x14ac:dyDescent="0.2"/>
    <row r="124" s="144" customFormat="1"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sheetData>
  <sheetProtection algorithmName="SHA-512" hashValue="4EK/kWPNZ6cHbGxW0fLK9AjlOiSOBXx+vHfNHwL0nIHpkc0Kii8d8ukOqKa6iIUwy9t5XI413pOdpDc0CpIn1g==" saltValue="aN6ybkAnYdAcObdIZPEiMQ==" spinCount="100000" sheet="1" objects="1" scenarios="1"/>
  <mergeCells count="1">
    <mergeCell ref="C3:D3"/>
  </mergeCells>
  <hyperlinks>
    <hyperlink ref="D34" r:id="rId1" display="costs SE Facilities Costs Second Quarter 2016 " xr:uid="{00000000-0004-0000-0300-000000000000}"/>
    <hyperlink ref="D35" r:id="rId2" display="Lifecycle costs source: SE Life Cycle Costs Natural Turf Pitches and Artificial Surfaces April 2012" xr:uid="{00000000-0004-0000-0300-000001000000}"/>
  </hyperlinks>
  <pageMargins left="0.7" right="0.7" top="0.75" bottom="0.75" header="0.3" footer="0.3"/>
  <pageSetup paperSize="9" scale="6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30"/>
  <sheetViews>
    <sheetView zoomScaleNormal="100" zoomScaleSheetLayoutView="100" workbookViewId="0">
      <selection activeCell="K12" sqref="K12"/>
    </sheetView>
  </sheetViews>
  <sheetFormatPr defaultColWidth="8.85546875" defaultRowHeight="12.75" x14ac:dyDescent="0.2"/>
  <cols>
    <col min="1" max="1" width="8.85546875" style="121"/>
    <col min="2" max="2" width="3" style="2" customWidth="1"/>
    <col min="3" max="3" width="2.28515625" style="2" customWidth="1"/>
    <col min="4" max="4" width="36.85546875" style="2" bestFit="1" customWidth="1"/>
    <col min="5" max="5" width="2" style="2" customWidth="1"/>
    <col min="6" max="6" width="14.85546875" style="2" customWidth="1"/>
    <col min="7" max="7" width="11.140625" style="2" customWidth="1"/>
    <col min="8" max="8" width="3.140625" style="2" customWidth="1"/>
    <col min="9" max="9" width="11.85546875" style="2" customWidth="1"/>
    <col min="10" max="10" width="13.28515625" style="2" customWidth="1"/>
    <col min="11" max="11" width="3.5703125" style="2" customWidth="1"/>
    <col min="12" max="12" width="19.7109375" style="2" customWidth="1"/>
    <col min="13" max="13" width="10.5703125" style="5" hidden="1" customWidth="1"/>
    <col min="14" max="14" width="9.140625" style="2" bestFit="1" customWidth="1"/>
    <col min="15" max="15" width="18" style="5" customWidth="1"/>
    <col min="16" max="16" width="3.140625" style="5" customWidth="1"/>
    <col min="17" max="17" width="20.42578125" style="2" customWidth="1"/>
    <col min="18" max="18" width="12.42578125" style="2" hidden="1" customWidth="1"/>
    <col min="19" max="19" width="3.7109375" style="2" customWidth="1"/>
    <col min="20" max="20" width="9.140625" style="2" bestFit="1" customWidth="1"/>
    <col min="21" max="21" width="15.28515625" style="2" customWidth="1"/>
    <col min="22" max="22" width="2" style="2" customWidth="1"/>
    <col min="23" max="23" width="9.140625" style="2" bestFit="1" customWidth="1"/>
    <col min="24" max="24" width="13" style="2" customWidth="1"/>
    <col min="25" max="25" width="13.42578125" style="2" customWidth="1"/>
    <col min="26" max="26" width="3.7109375" style="2" customWidth="1"/>
    <col min="27" max="27" width="9.140625" style="2" hidden="1" customWidth="1"/>
    <col min="28" max="28" width="14.42578125" style="2" hidden="1" customWidth="1"/>
    <col min="29" max="29" width="2" style="2" hidden="1" customWidth="1"/>
    <col min="30" max="30" width="9.140625" style="2" hidden="1" customWidth="1"/>
    <col min="31" max="31" width="13" style="2" hidden="1" customWidth="1"/>
    <col min="32" max="32" width="13.42578125" style="2" hidden="1" customWidth="1"/>
    <col min="33" max="33" width="3" style="2" hidden="1" customWidth="1"/>
    <col min="34" max="34" width="4.5703125" style="2" customWidth="1"/>
    <col min="35" max="41" width="23.7109375" style="2" customWidth="1"/>
    <col min="42" max="16384" width="8.85546875" style="2"/>
  </cols>
  <sheetData>
    <row r="1" spans="1:44" s="121" customFormat="1" ht="37.5" customHeight="1" x14ac:dyDescent="0.2">
      <c r="M1" s="122"/>
      <c r="O1" s="122"/>
      <c r="P1" s="122"/>
    </row>
    <row r="2" spans="1:44" s="14" customFormat="1" ht="10.5" customHeight="1" x14ac:dyDescent="0.2">
      <c r="A2" s="17"/>
      <c r="AI2" s="17"/>
      <c r="AJ2" s="17"/>
      <c r="AK2" s="17"/>
      <c r="AL2" s="17"/>
      <c r="AM2" s="17"/>
      <c r="AN2" s="17"/>
      <c r="AO2" s="17"/>
      <c r="AP2" s="17"/>
      <c r="AQ2" s="17"/>
      <c r="AR2" s="17"/>
    </row>
    <row r="3" spans="1:44" s="14" customFormat="1" ht="21" x14ac:dyDescent="0.2">
      <c r="A3" s="17"/>
      <c r="C3" s="198" t="s">
        <v>569</v>
      </c>
      <c r="D3" s="198"/>
      <c r="E3" s="198"/>
      <c r="F3" s="198"/>
      <c r="G3" s="198"/>
      <c r="H3" s="230"/>
      <c r="I3" s="230"/>
      <c r="J3" s="230"/>
      <c r="K3" s="230"/>
      <c r="L3" s="230"/>
      <c r="M3" s="230"/>
      <c r="N3" s="230"/>
      <c r="O3" s="230"/>
      <c r="P3" s="230"/>
      <c r="Q3" s="230"/>
      <c r="R3" s="230"/>
      <c r="S3" s="230"/>
      <c r="T3" s="230"/>
      <c r="U3" s="230"/>
      <c r="V3" s="230"/>
      <c r="W3" s="230"/>
      <c r="X3" s="230"/>
      <c r="Y3" s="230"/>
      <c r="AI3" s="17"/>
      <c r="AJ3" s="17"/>
      <c r="AK3" s="17"/>
      <c r="AL3" s="17"/>
      <c r="AM3" s="17"/>
      <c r="AN3" s="17"/>
      <c r="AO3" s="17"/>
      <c r="AP3" s="17"/>
      <c r="AQ3" s="17"/>
      <c r="AR3" s="17"/>
    </row>
    <row r="4" spans="1:44" s="14" customFormat="1" ht="12.75" customHeight="1" x14ac:dyDescent="0.2">
      <c r="A4" s="17"/>
      <c r="AI4" s="17"/>
      <c r="AJ4" s="17"/>
      <c r="AK4" s="17"/>
      <c r="AL4" s="17"/>
      <c r="AM4" s="17"/>
      <c r="AN4" s="17"/>
      <c r="AO4" s="17"/>
      <c r="AP4" s="17"/>
      <c r="AQ4" s="17"/>
      <c r="AR4" s="17"/>
    </row>
    <row r="5" spans="1:44" ht="63.75" customHeight="1" thickBot="1" x14ac:dyDescent="0.25">
      <c r="B5" s="3"/>
      <c r="C5" s="3"/>
      <c r="D5" s="3"/>
      <c r="E5" s="3"/>
      <c r="F5" s="232" t="s">
        <v>531</v>
      </c>
      <c r="G5" s="232"/>
      <c r="H5" s="3"/>
      <c r="I5" s="232" t="s">
        <v>566</v>
      </c>
      <c r="J5" s="232"/>
      <c r="K5" s="3"/>
      <c r="L5" s="232" t="s">
        <v>568</v>
      </c>
      <c r="M5" s="232"/>
      <c r="N5" s="232"/>
      <c r="O5" s="232"/>
      <c r="P5" s="6"/>
      <c r="Q5" s="60" t="s">
        <v>532</v>
      </c>
      <c r="R5" s="3"/>
      <c r="S5" s="3"/>
      <c r="T5" s="232" t="s">
        <v>533</v>
      </c>
      <c r="U5" s="236"/>
      <c r="V5" s="3"/>
      <c r="W5" s="232" t="s">
        <v>534</v>
      </c>
      <c r="X5" s="233"/>
      <c r="Y5" s="233"/>
      <c r="Z5" s="3"/>
      <c r="AA5" s="128" t="s">
        <v>465</v>
      </c>
      <c r="AB5" s="128"/>
      <c r="AC5" s="3"/>
      <c r="AD5" s="3"/>
      <c r="AE5" s="3"/>
      <c r="AF5" s="3"/>
      <c r="AG5" s="3"/>
      <c r="AH5" s="3"/>
      <c r="AI5" s="121"/>
      <c r="AJ5" s="121"/>
      <c r="AK5" s="121"/>
      <c r="AL5" s="121"/>
      <c r="AM5" s="121"/>
      <c r="AN5" s="121"/>
      <c r="AO5" s="121"/>
      <c r="AP5" s="121"/>
      <c r="AQ5" s="121"/>
      <c r="AR5" s="121"/>
    </row>
    <row r="6" spans="1:44" ht="90" thickBot="1" x14ac:dyDescent="0.25">
      <c r="B6" s="3"/>
      <c r="C6" s="3"/>
      <c r="D6" s="53" t="s">
        <v>34</v>
      </c>
      <c r="E6" s="54"/>
      <c r="F6" s="55" t="s">
        <v>505</v>
      </c>
      <c r="G6" s="55" t="s">
        <v>459</v>
      </c>
      <c r="H6" s="56"/>
      <c r="I6" s="55" t="s">
        <v>35</v>
      </c>
      <c r="J6" s="55" t="s">
        <v>462</v>
      </c>
      <c r="K6" s="57"/>
      <c r="L6" s="55" t="s">
        <v>507</v>
      </c>
      <c r="M6" s="58" t="s">
        <v>27</v>
      </c>
      <c r="N6" s="55" t="s">
        <v>464</v>
      </c>
      <c r="O6" s="55" t="s">
        <v>463</v>
      </c>
      <c r="P6" s="57"/>
      <c r="Q6" s="55" t="s">
        <v>509</v>
      </c>
      <c r="R6" s="59" t="s">
        <v>379</v>
      </c>
      <c r="S6" s="60"/>
      <c r="T6" s="55" t="s">
        <v>493</v>
      </c>
      <c r="U6" s="55" t="s">
        <v>514</v>
      </c>
      <c r="V6" s="56"/>
      <c r="W6" s="55" t="s">
        <v>32</v>
      </c>
      <c r="X6" s="55" t="s">
        <v>33</v>
      </c>
      <c r="Y6" s="61" t="s">
        <v>31</v>
      </c>
      <c r="Z6" s="60"/>
      <c r="AA6" s="62" t="s">
        <v>28</v>
      </c>
      <c r="AB6" s="55" t="s">
        <v>29</v>
      </c>
      <c r="AC6" s="56"/>
      <c r="AD6" s="55" t="s">
        <v>32</v>
      </c>
      <c r="AE6" s="55" t="s">
        <v>33</v>
      </c>
      <c r="AF6" s="55" t="s">
        <v>31</v>
      </c>
      <c r="AG6" s="3"/>
      <c r="AH6" s="3"/>
      <c r="AI6" s="121"/>
      <c r="AJ6" s="121"/>
      <c r="AK6" s="121"/>
      <c r="AL6" s="121"/>
      <c r="AM6" s="121"/>
      <c r="AN6" s="121"/>
      <c r="AO6" s="121"/>
      <c r="AP6" s="121"/>
      <c r="AQ6" s="121"/>
      <c r="AR6" s="121"/>
    </row>
    <row r="7" spans="1:44" x14ac:dyDescent="0.2">
      <c r="B7" s="3"/>
      <c r="C7" s="3"/>
      <c r="D7" s="63" t="s">
        <v>1</v>
      </c>
      <c r="E7" s="64"/>
      <c r="F7" s="65">
        <f>'PPS Data'!D10/Calculator!$D$11</f>
        <v>0.19988008746561331</v>
      </c>
      <c r="G7" s="66">
        <f>F7*Calculator!$D$13</f>
        <v>5113.1325174578542</v>
      </c>
      <c r="H7" s="3"/>
      <c r="I7" s="67">
        <f>IF('PPS Data'!E10&gt;0,G7/'PPS Data'!E10,0)</f>
        <v>9.0220074768992031</v>
      </c>
      <c r="J7" s="67">
        <f>I7*'PPS Data'!H10+I7</f>
        <v>9.0220074768992031</v>
      </c>
      <c r="K7" s="68"/>
      <c r="L7" s="69">
        <f>J7/2</f>
        <v>4.5110037384496016</v>
      </c>
      <c r="M7" s="69">
        <f>I7/1</f>
        <v>9.0220074768992031</v>
      </c>
      <c r="N7" s="70">
        <f>'PPS Data'!G10</f>
        <v>0.6</v>
      </c>
      <c r="O7" s="69">
        <f t="shared" ref="O7:O14" si="0">L7*N7</f>
        <v>2.7066022430697609</v>
      </c>
      <c r="P7" s="68"/>
      <c r="Q7" s="71">
        <f>O7</f>
        <v>2.7066022430697609</v>
      </c>
      <c r="R7" s="72">
        <f>ROUNDUP(Q7+Q8,0)</f>
        <v>4</v>
      </c>
      <c r="S7" s="73"/>
      <c r="T7" s="74">
        <v>85000</v>
      </c>
      <c r="U7" s="74">
        <f>SUM(Q7:Q8)*T7</f>
        <v>257668.53354024127</v>
      </c>
      <c r="V7" s="3"/>
      <c r="W7" s="74">
        <f>U7/100*4.4</f>
        <v>11337.415475770618</v>
      </c>
      <c r="X7" s="74">
        <f>U7/100*16.7</f>
        <v>43030.645101220296</v>
      </c>
      <c r="Y7" s="74">
        <f>SUM(W7:X7)</f>
        <v>54368.060576990916</v>
      </c>
      <c r="Z7" s="4"/>
      <c r="AA7" s="74">
        <v>85000</v>
      </c>
      <c r="AB7" s="74">
        <f>R7*AA7</f>
        <v>340000</v>
      </c>
      <c r="AC7" s="3"/>
      <c r="AD7" s="74">
        <f>AB7/100*4.4</f>
        <v>14960.000000000002</v>
      </c>
      <c r="AE7" s="74">
        <f>AB7/100*16.7</f>
        <v>56780</v>
      </c>
      <c r="AF7" s="74">
        <f>SUM(AD7:AE7)</f>
        <v>71740</v>
      </c>
      <c r="AG7" s="3"/>
      <c r="AH7" s="3"/>
      <c r="AI7" s="121"/>
      <c r="AJ7" s="121"/>
      <c r="AK7" s="121"/>
      <c r="AL7" s="121"/>
      <c r="AM7" s="121"/>
      <c r="AN7" s="121"/>
      <c r="AO7" s="121"/>
      <c r="AP7" s="121"/>
      <c r="AQ7" s="121"/>
      <c r="AR7" s="121"/>
    </row>
    <row r="8" spans="1:44" x14ac:dyDescent="0.2">
      <c r="B8" s="3"/>
      <c r="C8" s="3"/>
      <c r="D8" s="75" t="s">
        <v>2</v>
      </c>
      <c r="E8" s="64"/>
      <c r="F8" s="65">
        <f>'PPS Data'!D11/Calculator!$D$11</f>
        <v>0.19988008746561331</v>
      </c>
      <c r="G8" s="66">
        <f>F8*Calculator!$D$13</f>
        <v>5113.1325174578542</v>
      </c>
      <c r="H8" s="3"/>
      <c r="I8" s="67">
        <f>IF('PPS Data'!E11&gt;0,G8/'PPS Data'!E11,0)</f>
        <v>1.0826408972279045</v>
      </c>
      <c r="J8" s="67">
        <f>I8*'PPS Data'!H11+I8</f>
        <v>1.0826408972279045</v>
      </c>
      <c r="K8" s="68"/>
      <c r="L8" s="76">
        <f t="shared" ref="L8:L32" si="1">J8/2</f>
        <v>0.54132044861395223</v>
      </c>
      <c r="M8" s="69">
        <f t="shared" ref="M8:M32" si="2">I8/1</f>
        <v>1.0826408972279045</v>
      </c>
      <c r="N8" s="70">
        <f>'PPS Data'!G11</f>
        <v>0.6</v>
      </c>
      <c r="O8" s="69">
        <f t="shared" si="0"/>
        <v>0.32479226916837134</v>
      </c>
      <c r="P8" s="68"/>
      <c r="Q8" s="69">
        <f t="shared" ref="Q8:Q14" si="3">O8</f>
        <v>0.32479226916837134</v>
      </c>
      <c r="R8" s="77"/>
      <c r="S8" s="73"/>
      <c r="T8" s="78"/>
      <c r="U8" s="78"/>
      <c r="V8" s="3"/>
      <c r="W8" s="79"/>
      <c r="X8" s="78"/>
      <c r="Y8" s="80"/>
      <c r="Z8" s="4"/>
      <c r="AA8" s="78"/>
      <c r="AB8" s="78"/>
      <c r="AC8" s="3"/>
      <c r="AD8" s="79"/>
      <c r="AE8" s="78"/>
      <c r="AF8" s="80"/>
      <c r="AG8" s="3"/>
      <c r="AH8" s="3"/>
      <c r="AI8" s="121"/>
      <c r="AJ8" s="121"/>
      <c r="AK8" s="121"/>
      <c r="AL8" s="121"/>
      <c r="AM8" s="121"/>
      <c r="AN8" s="121"/>
      <c r="AO8" s="121"/>
      <c r="AP8" s="121"/>
      <c r="AQ8" s="121"/>
      <c r="AR8" s="121"/>
    </row>
    <row r="9" spans="1:44" x14ac:dyDescent="0.2">
      <c r="B9" s="3"/>
      <c r="C9" s="3"/>
      <c r="D9" s="75" t="s">
        <v>3</v>
      </c>
      <c r="E9" s="64"/>
      <c r="F9" s="65">
        <f>'PPS Data'!D12/Calculator!$D$11</f>
        <v>2.0667277985469423E-2</v>
      </c>
      <c r="G9" s="66">
        <f>F9*Calculator!$D$13</f>
        <v>528.6896381462933</v>
      </c>
      <c r="H9" s="3"/>
      <c r="I9" s="67">
        <f>IF('PPS Data'!E12&gt;0,G9/'PPS Data'!E12,0)</f>
        <v>12.811250617196869</v>
      </c>
      <c r="J9" s="67">
        <f>I9*'PPS Data'!H12+I9</f>
        <v>12.811250617196869</v>
      </c>
      <c r="K9" s="68"/>
      <c r="L9" s="76">
        <f t="shared" si="1"/>
        <v>6.4056253085984345</v>
      </c>
      <c r="M9" s="69">
        <f t="shared" si="2"/>
        <v>12.811250617196869</v>
      </c>
      <c r="N9" s="70">
        <f>'PPS Data'!G12</f>
        <v>0.55000000000000004</v>
      </c>
      <c r="O9" s="69">
        <f t="shared" si="0"/>
        <v>3.5230939197291393</v>
      </c>
      <c r="P9" s="68"/>
      <c r="Q9" s="69">
        <f t="shared" si="3"/>
        <v>3.5230939197291393</v>
      </c>
      <c r="R9" s="72">
        <f>ROUNDUP(Q9+Q10+Q11+Q12,0)</f>
        <v>7</v>
      </c>
      <c r="S9" s="73"/>
      <c r="T9" s="74">
        <v>70000</v>
      </c>
      <c r="U9" s="74">
        <f>SUM(Q9:Q12)*T9</f>
        <v>423763.69118995563</v>
      </c>
      <c r="V9" s="3"/>
      <c r="W9" s="74">
        <f t="shared" ref="W9" si="4">U9/100*4</f>
        <v>16950.547647598225</v>
      </c>
      <c r="X9" s="74">
        <f t="shared" ref="X9" si="5">U9/100*17</f>
        <v>72039.82750229245</v>
      </c>
      <c r="Y9" s="74">
        <f t="shared" ref="Y9" si="6">SUM(W9:X9)</f>
        <v>88990.375149890679</v>
      </c>
      <c r="Z9" s="4"/>
      <c r="AA9" s="74">
        <v>70000</v>
      </c>
      <c r="AB9" s="74">
        <f>R9*AA9</f>
        <v>490000</v>
      </c>
      <c r="AC9" s="3"/>
      <c r="AD9" s="74">
        <f t="shared" ref="AD9:AD13" si="7">AB9/100*4</f>
        <v>19600</v>
      </c>
      <c r="AE9" s="74">
        <f t="shared" ref="AE9:AE13" si="8">AB9/100*17</f>
        <v>83300</v>
      </c>
      <c r="AF9" s="74">
        <f t="shared" ref="AF9:AF24" si="9">SUM(AD9:AE9)</f>
        <v>102900</v>
      </c>
      <c r="AG9" s="3"/>
      <c r="AH9" s="3"/>
      <c r="AI9" s="121"/>
      <c r="AJ9" s="121"/>
      <c r="AK9" s="121"/>
      <c r="AL9" s="121"/>
      <c r="AM9" s="121"/>
      <c r="AN9" s="121"/>
      <c r="AO9" s="121"/>
      <c r="AP9" s="121"/>
      <c r="AQ9" s="121"/>
      <c r="AR9" s="121"/>
    </row>
    <row r="10" spans="1:44" x14ac:dyDescent="0.2">
      <c r="B10" s="3"/>
      <c r="C10" s="3"/>
      <c r="D10" s="75" t="s">
        <v>4</v>
      </c>
      <c r="E10" s="64"/>
      <c r="F10" s="65">
        <f>'PPS Data'!D13/Calculator!$D$11</f>
        <v>2.0667277985469423E-2</v>
      </c>
      <c r="G10" s="66">
        <f>F10*Calculator!$D$13</f>
        <v>528.6896381462933</v>
      </c>
      <c r="H10" s="3"/>
      <c r="I10" s="67">
        <f>IF('PPS Data'!E13&gt;0,G10/'PPS Data'!E13,0)</f>
        <v>0.90220074768992031</v>
      </c>
      <c r="J10" s="67">
        <f>I10*'PPS Data'!H13+I10</f>
        <v>0.90220074768992031</v>
      </c>
      <c r="K10" s="68"/>
      <c r="L10" s="76">
        <f t="shared" si="1"/>
        <v>0.45110037384496016</v>
      </c>
      <c r="M10" s="69">
        <f t="shared" si="2"/>
        <v>0.90220074768992031</v>
      </c>
      <c r="N10" s="70">
        <f>'PPS Data'!G13</f>
        <v>0.55000000000000004</v>
      </c>
      <c r="O10" s="69">
        <f t="shared" si="0"/>
        <v>0.2481052056147281</v>
      </c>
      <c r="P10" s="68"/>
      <c r="Q10" s="69">
        <f t="shared" si="3"/>
        <v>0.2481052056147281</v>
      </c>
      <c r="R10" s="81"/>
      <c r="S10" s="73"/>
      <c r="T10" s="74"/>
      <c r="U10" s="74"/>
      <c r="V10" s="3"/>
      <c r="W10" s="74"/>
      <c r="X10" s="74"/>
      <c r="Y10" s="74"/>
      <c r="Z10" s="4"/>
      <c r="AA10" s="74"/>
      <c r="AB10" s="74"/>
      <c r="AC10" s="3"/>
      <c r="AD10" s="74"/>
      <c r="AE10" s="74"/>
      <c r="AF10" s="74"/>
      <c r="AG10" s="3"/>
      <c r="AH10" s="3"/>
      <c r="AI10" s="121"/>
      <c r="AJ10" s="121"/>
      <c r="AK10" s="121"/>
      <c r="AL10" s="121"/>
      <c r="AM10" s="121"/>
      <c r="AN10" s="121"/>
      <c r="AO10" s="121"/>
      <c r="AP10" s="121"/>
      <c r="AQ10" s="121"/>
      <c r="AR10" s="121"/>
    </row>
    <row r="11" spans="1:44" x14ac:dyDescent="0.2">
      <c r="B11" s="3"/>
      <c r="C11" s="3"/>
      <c r="D11" s="75" t="s">
        <v>5</v>
      </c>
      <c r="E11" s="64"/>
      <c r="F11" s="65">
        <f>'PPS Data'!D14/Calculator!$D$11</f>
        <v>1.1173026733441489E-2</v>
      </c>
      <c r="G11" s="66">
        <f>F11*Calculator!$D$13</f>
        <v>285.81719686816672</v>
      </c>
      <c r="H11" s="3"/>
      <c r="I11" s="67">
        <f>IF('PPS Data'!E14&gt;0,G11/'PPS Data'!E14,0)</f>
        <v>7.3980461310573462</v>
      </c>
      <c r="J11" s="67">
        <f>I11*'PPS Data'!H14+I11</f>
        <v>7.3980461310573462</v>
      </c>
      <c r="K11" s="68"/>
      <c r="L11" s="76">
        <f t="shared" si="1"/>
        <v>3.6990230655286731</v>
      </c>
      <c r="M11" s="69">
        <f t="shared" si="2"/>
        <v>7.3980461310573462</v>
      </c>
      <c r="N11" s="70">
        <f>'PPS Data'!G14</f>
        <v>0.55000000000000004</v>
      </c>
      <c r="O11" s="69">
        <f t="shared" si="0"/>
        <v>2.0344626860407704</v>
      </c>
      <c r="P11" s="68"/>
      <c r="Q11" s="76">
        <f t="shared" si="3"/>
        <v>2.0344626860407704</v>
      </c>
      <c r="R11" s="81"/>
      <c r="S11" s="73"/>
      <c r="T11" s="74"/>
      <c r="U11" s="74"/>
      <c r="V11" s="3"/>
      <c r="W11" s="74"/>
      <c r="X11" s="74"/>
      <c r="Y11" s="74"/>
      <c r="Z11" s="4"/>
      <c r="AA11" s="74"/>
      <c r="AB11" s="74"/>
      <c r="AC11" s="3"/>
      <c r="AD11" s="74"/>
      <c r="AE11" s="74"/>
      <c r="AF11" s="74"/>
      <c r="AG11" s="3"/>
      <c r="AH11" s="3"/>
      <c r="AI11" s="121"/>
      <c r="AJ11" s="121"/>
      <c r="AK11" s="121"/>
      <c r="AL11" s="121"/>
      <c r="AM11" s="121"/>
      <c r="AN11" s="121"/>
      <c r="AO11" s="121"/>
      <c r="AP11" s="121"/>
      <c r="AQ11" s="121"/>
      <c r="AR11" s="121"/>
    </row>
    <row r="12" spans="1:44" x14ac:dyDescent="0.2">
      <c r="B12" s="3"/>
      <c r="C12" s="3"/>
      <c r="D12" s="75" t="s">
        <v>6</v>
      </c>
      <c r="E12" s="64"/>
      <c r="F12" s="65">
        <f>'PPS Data'!D15/Calculator!$D$11</f>
        <v>1.1173026733441489E-2</v>
      </c>
      <c r="G12" s="66">
        <f>F12*Calculator!$D$13</f>
        <v>285.81719686816672</v>
      </c>
      <c r="H12" s="3"/>
      <c r="I12" s="67">
        <f>IF('PPS Data'!E15&gt;0,G12/'PPS Data'!E15,0)</f>
        <v>0.9022007476899202</v>
      </c>
      <c r="J12" s="67">
        <f>I12*'PPS Data'!H15+I12</f>
        <v>0.9022007476899202</v>
      </c>
      <c r="K12" s="68"/>
      <c r="L12" s="76">
        <f t="shared" si="1"/>
        <v>0.4511003738449601</v>
      </c>
      <c r="M12" s="69">
        <f t="shared" si="2"/>
        <v>0.9022007476899202</v>
      </c>
      <c r="N12" s="70">
        <f>'PPS Data'!G15</f>
        <v>0.55000000000000004</v>
      </c>
      <c r="O12" s="69">
        <f t="shared" si="0"/>
        <v>0.24810520561472807</v>
      </c>
      <c r="P12" s="68"/>
      <c r="Q12" s="69">
        <f t="shared" si="3"/>
        <v>0.24810520561472807</v>
      </c>
      <c r="R12" s="77"/>
      <c r="S12" s="73"/>
      <c r="T12" s="78"/>
      <c r="U12" s="78"/>
      <c r="V12" s="3"/>
      <c r="W12" s="78"/>
      <c r="X12" s="78"/>
      <c r="Y12" s="78"/>
      <c r="Z12" s="4"/>
      <c r="AA12" s="78"/>
      <c r="AB12" s="78"/>
      <c r="AC12" s="3"/>
      <c r="AD12" s="78"/>
      <c r="AE12" s="78"/>
      <c r="AF12" s="78"/>
      <c r="AG12" s="3"/>
      <c r="AH12" s="3"/>
      <c r="AI12" s="121"/>
      <c r="AJ12" s="121"/>
      <c r="AK12" s="121"/>
      <c r="AL12" s="121"/>
      <c r="AM12" s="121"/>
      <c r="AN12" s="121"/>
      <c r="AO12" s="121"/>
      <c r="AP12" s="121"/>
      <c r="AQ12" s="121"/>
      <c r="AR12" s="121"/>
    </row>
    <row r="13" spans="1:44" x14ac:dyDescent="0.2">
      <c r="B13" s="3"/>
      <c r="C13" s="3"/>
      <c r="D13" s="82" t="s">
        <v>7</v>
      </c>
      <c r="E13" s="64"/>
      <c r="F13" s="65">
        <f>'PPS Data'!D16/Calculator!$D$11</f>
        <v>2.3114904422656415E-2</v>
      </c>
      <c r="G13" s="66">
        <f>F13*Calculator!$D$13</f>
        <v>591.30237003597381</v>
      </c>
      <c r="H13" s="3"/>
      <c r="I13" s="67">
        <f>IF('PPS Data'!E16&gt;0,G13/'PPS Data'!E16,0)</f>
        <v>10.645968822741061</v>
      </c>
      <c r="J13" s="67">
        <f>I13*'PPS Data'!H16+I13</f>
        <v>10.645968822741061</v>
      </c>
      <c r="K13" s="68"/>
      <c r="L13" s="76">
        <f t="shared" si="1"/>
        <v>5.3229844113705305</v>
      </c>
      <c r="M13" s="69">
        <f t="shared" si="2"/>
        <v>10.645968822741061</v>
      </c>
      <c r="N13" s="70">
        <f>'PPS Data'!G16</f>
        <v>0.7</v>
      </c>
      <c r="O13" s="69">
        <f t="shared" si="0"/>
        <v>3.7260890879593709</v>
      </c>
      <c r="P13" s="68"/>
      <c r="Q13" s="69">
        <f t="shared" si="3"/>
        <v>3.7260890879593709</v>
      </c>
      <c r="R13" s="72">
        <f>ROUNDUP(Q13+Q14,0)</f>
        <v>7</v>
      </c>
      <c r="S13" s="73"/>
      <c r="T13" s="74">
        <v>20000</v>
      </c>
      <c r="U13" s="74">
        <f>SUM(Q13:Q14)*T13</f>
        <v>139539.72135644563</v>
      </c>
      <c r="V13" s="83"/>
      <c r="W13" s="74">
        <f t="shared" ref="W13" si="10">U13/100*4</f>
        <v>5581.588854257825</v>
      </c>
      <c r="X13" s="74">
        <f t="shared" ref="X13" si="11">U13/100*17</f>
        <v>23721.752630595758</v>
      </c>
      <c r="Y13" s="74">
        <f t="shared" ref="Y13" si="12">SUM(W13:X13)</f>
        <v>29303.341484853583</v>
      </c>
      <c r="Z13" s="4"/>
      <c r="AA13" s="74">
        <v>20000</v>
      </c>
      <c r="AB13" s="74">
        <f>R13*AA13</f>
        <v>140000</v>
      </c>
      <c r="AC13" s="83"/>
      <c r="AD13" s="74">
        <f t="shared" si="7"/>
        <v>5600</v>
      </c>
      <c r="AE13" s="74">
        <f t="shared" si="8"/>
        <v>23800</v>
      </c>
      <c r="AF13" s="74">
        <f t="shared" si="9"/>
        <v>29400</v>
      </c>
      <c r="AG13" s="3"/>
      <c r="AH13" s="3"/>
      <c r="AI13" s="121"/>
      <c r="AJ13" s="121"/>
      <c r="AK13" s="121"/>
      <c r="AL13" s="121"/>
      <c r="AM13" s="121"/>
      <c r="AN13" s="121"/>
      <c r="AO13" s="121"/>
      <c r="AP13" s="121"/>
      <c r="AQ13" s="121"/>
      <c r="AR13" s="121"/>
    </row>
    <row r="14" spans="1:44" ht="13.5" thickBot="1" x14ac:dyDescent="0.25">
      <c r="B14" s="3"/>
      <c r="C14" s="3"/>
      <c r="D14" s="84" t="s">
        <v>8</v>
      </c>
      <c r="E14" s="64"/>
      <c r="F14" s="85">
        <f>'PPS Data'!D17/Calculator!$D$11</f>
        <v>2.3129011779643084E-2</v>
      </c>
      <c r="G14" s="86">
        <f>F14*Calculator!$D$13</f>
        <v>591.66325033504972</v>
      </c>
      <c r="H14" s="83"/>
      <c r="I14" s="87">
        <f>IF('PPS Data'!E17&gt;0,G14/'PPS Data'!E17,0)</f>
        <v>6.5017939597258207</v>
      </c>
      <c r="J14" s="88">
        <f>I14*'PPS Data'!H17+I14</f>
        <v>6.5017939597258207</v>
      </c>
      <c r="K14" s="68"/>
      <c r="L14" s="87">
        <f t="shared" si="1"/>
        <v>3.2508969798629104</v>
      </c>
      <c r="M14" s="89">
        <f t="shared" si="2"/>
        <v>6.5017939597258207</v>
      </c>
      <c r="N14" s="90">
        <f>'PPS Data'!G17</f>
        <v>1</v>
      </c>
      <c r="O14" s="87">
        <f t="shared" si="0"/>
        <v>3.2508969798629104</v>
      </c>
      <c r="P14" s="68"/>
      <c r="Q14" s="87">
        <f t="shared" si="3"/>
        <v>3.2508969798629104</v>
      </c>
      <c r="R14" s="77"/>
      <c r="S14" s="73"/>
      <c r="T14" s="91"/>
      <c r="U14" s="91"/>
      <c r="V14" s="83"/>
      <c r="W14" s="91"/>
      <c r="X14" s="91"/>
      <c r="Y14" s="91"/>
      <c r="Z14" s="4"/>
      <c r="AA14" s="91"/>
      <c r="AB14" s="91"/>
      <c r="AC14" s="83"/>
      <c r="AD14" s="91"/>
      <c r="AE14" s="91"/>
      <c r="AF14" s="91"/>
      <c r="AG14" s="3"/>
      <c r="AH14" s="3"/>
      <c r="AI14" s="121"/>
      <c r="AJ14" s="121"/>
      <c r="AK14" s="121"/>
      <c r="AL14" s="121"/>
      <c r="AM14" s="121"/>
      <c r="AN14" s="121"/>
      <c r="AO14" s="121"/>
      <c r="AP14" s="121"/>
      <c r="AQ14" s="121"/>
      <c r="AR14" s="121"/>
    </row>
    <row r="15" spans="1:44" x14ac:dyDescent="0.2">
      <c r="B15" s="3"/>
      <c r="C15" s="3"/>
      <c r="D15" s="63" t="s">
        <v>9</v>
      </c>
      <c r="E15" s="64"/>
      <c r="F15" s="65">
        <f>'PPS Data'!D18/Calculator!$D$11</f>
        <v>0.25889821541934116</v>
      </c>
      <c r="G15" s="66">
        <f>F15*Calculator!$D$13</f>
        <v>6622.8752486421663</v>
      </c>
      <c r="H15" s="83"/>
      <c r="I15" s="67">
        <f>IF('PPS Data'!E18&gt;0,G15/'PPS Data'!E18,0)</f>
        <v>9.1984378453363416</v>
      </c>
      <c r="J15" s="67">
        <f>I15*'PPS Data'!H18+I15</f>
        <v>9.1984378453363416</v>
      </c>
      <c r="K15" s="68"/>
      <c r="L15" s="69">
        <f>J15*10</f>
        <v>91.984378453363419</v>
      </c>
      <c r="M15" s="69">
        <f>I15/1</f>
        <v>9.1984378453363416</v>
      </c>
      <c r="N15" s="92" t="str">
        <f>'PPS Data'!G18</f>
        <v>N/a</v>
      </c>
      <c r="O15" s="69">
        <f>L15</f>
        <v>91.984378453363419</v>
      </c>
      <c r="P15" s="68"/>
      <c r="Q15" s="69">
        <f>O15/40</f>
        <v>2.2996094613340854</v>
      </c>
      <c r="R15" s="72">
        <f>ROUNDUP(Q15+Q16+Q17+Q18,0)</f>
        <v>4</v>
      </c>
      <c r="S15" s="73"/>
      <c r="T15" s="74">
        <v>270000</v>
      </c>
      <c r="U15" s="74">
        <f>SUM(Q15:Q18)*T15</f>
        <v>957387.19921153318</v>
      </c>
      <c r="V15" s="83"/>
      <c r="W15" s="74">
        <f>U15/100*4.9</f>
        <v>46911.972761365127</v>
      </c>
      <c r="X15" s="74">
        <f>U15/100*15.3</f>
        <v>146480.24147936457</v>
      </c>
      <c r="Y15" s="74">
        <f t="shared" ref="Y15" si="13">SUM(W15:X15)</f>
        <v>193392.21424072969</v>
      </c>
      <c r="Z15" s="4"/>
      <c r="AA15" s="74">
        <v>265000</v>
      </c>
      <c r="AB15" s="74">
        <f>R15*AA15</f>
        <v>1060000</v>
      </c>
      <c r="AC15" s="83"/>
      <c r="AD15" s="74">
        <f>AB15/100*4.9</f>
        <v>51940.000000000007</v>
      </c>
      <c r="AE15" s="74">
        <f>AB15/100*15.3</f>
        <v>162180</v>
      </c>
      <c r="AF15" s="74">
        <f t="shared" si="9"/>
        <v>214120</v>
      </c>
      <c r="AG15" s="3"/>
      <c r="AH15" s="3"/>
      <c r="AI15" s="121"/>
      <c r="AJ15" s="121"/>
      <c r="AK15" s="121"/>
      <c r="AL15" s="121"/>
      <c r="AM15" s="121"/>
      <c r="AN15" s="121"/>
      <c r="AO15" s="121"/>
      <c r="AP15" s="121"/>
      <c r="AQ15" s="121"/>
      <c r="AR15" s="121"/>
    </row>
    <row r="16" spans="1:44" x14ac:dyDescent="0.2">
      <c r="B16" s="3"/>
      <c r="C16" s="3"/>
      <c r="D16" s="75" t="s">
        <v>10</v>
      </c>
      <c r="E16" s="64"/>
      <c r="F16" s="65">
        <f>'PPS Data'!D19/Calculator!$D$11</f>
        <v>0.25889821541934116</v>
      </c>
      <c r="G16" s="66">
        <f>F16*Calculator!$D$13</f>
        <v>6622.8752486421663</v>
      </c>
      <c r="H16" s="83"/>
      <c r="I16" s="67">
        <f>IF('PPS Data'!E19&gt;0,G16/'PPS Data'!E19,0)</f>
        <v>0.54130570074721429</v>
      </c>
      <c r="J16" s="67">
        <f>I16*'PPS Data'!H19+I16</f>
        <v>0.54130570074721429</v>
      </c>
      <c r="K16" s="68"/>
      <c r="L16" s="76">
        <f>J16*10</f>
        <v>5.4130570074721431</v>
      </c>
      <c r="M16" s="69">
        <f t="shared" si="2"/>
        <v>0.54130570074721429</v>
      </c>
      <c r="N16" s="92" t="str">
        <f>'PPS Data'!G19</f>
        <v>N/a</v>
      </c>
      <c r="O16" s="69">
        <f>L16</f>
        <v>5.4130570074721431</v>
      </c>
      <c r="P16" s="68"/>
      <c r="Q16" s="69">
        <f>O16/40</f>
        <v>0.13532642518680357</v>
      </c>
      <c r="R16" s="81"/>
      <c r="S16" s="73"/>
      <c r="T16" s="74"/>
      <c r="U16" s="74"/>
      <c r="V16" s="83"/>
      <c r="W16" s="74"/>
      <c r="X16" s="74"/>
      <c r="Y16" s="74"/>
      <c r="Z16" s="4"/>
      <c r="AA16" s="74"/>
      <c r="AB16" s="74"/>
      <c r="AC16" s="83"/>
      <c r="AD16" s="74"/>
      <c r="AE16" s="74"/>
      <c r="AF16" s="74"/>
      <c r="AG16" s="3"/>
      <c r="AH16" s="3"/>
      <c r="AI16" s="121"/>
      <c r="AJ16" s="121"/>
      <c r="AK16" s="121"/>
      <c r="AL16" s="121"/>
      <c r="AM16" s="121"/>
      <c r="AN16" s="121"/>
      <c r="AO16" s="121"/>
      <c r="AP16" s="121"/>
      <c r="AQ16" s="121"/>
      <c r="AR16" s="121"/>
    </row>
    <row r="17" spans="2:44" x14ac:dyDescent="0.2">
      <c r="B17" s="3"/>
      <c r="C17" s="3"/>
      <c r="D17" s="82" t="s">
        <v>11</v>
      </c>
      <c r="E17" s="64"/>
      <c r="F17" s="65">
        <f>'PPS Data'!D20/Calculator!$D$11</f>
        <v>5.8975805882767865E-2</v>
      </c>
      <c r="G17" s="66">
        <f>F17*Calculator!$D$13</f>
        <v>1508.6600902870848</v>
      </c>
      <c r="H17" s="83"/>
      <c r="I17" s="67">
        <f>IF('PPS Data'!E20&gt;0,G17/'PPS Data'!E20,0)</f>
        <v>7.7765984035416746</v>
      </c>
      <c r="J17" s="67">
        <f>I17*'PPS Data'!H20+I17</f>
        <v>7.7765984035416746</v>
      </c>
      <c r="K17" s="68"/>
      <c r="L17" s="76">
        <f>J17*8</f>
        <v>62.212787228333397</v>
      </c>
      <c r="M17" s="69">
        <f t="shared" si="2"/>
        <v>7.7765984035416746</v>
      </c>
      <c r="N17" s="92" t="str">
        <f>'PPS Data'!G20</f>
        <v>N/a</v>
      </c>
      <c r="O17" s="69">
        <f>L17</f>
        <v>62.212787228333397</v>
      </c>
      <c r="P17" s="68"/>
      <c r="Q17" s="69">
        <f>O17/56</f>
        <v>1.1109426290773821</v>
      </c>
      <c r="R17" s="81"/>
      <c r="S17" s="73"/>
      <c r="T17" s="74"/>
      <c r="U17" s="74"/>
      <c r="V17" s="83"/>
      <c r="W17" s="74"/>
      <c r="X17" s="74"/>
      <c r="Y17" s="74"/>
      <c r="Z17" s="4"/>
      <c r="AA17" s="74"/>
      <c r="AB17" s="74"/>
      <c r="AC17" s="83"/>
      <c r="AD17" s="74"/>
      <c r="AE17" s="74"/>
      <c r="AF17" s="74"/>
      <c r="AG17" s="3"/>
      <c r="AH17" s="3"/>
      <c r="AI17" s="121"/>
      <c r="AJ17" s="121"/>
      <c r="AK17" s="121"/>
      <c r="AL17" s="121"/>
      <c r="AM17" s="121"/>
      <c r="AN17" s="121"/>
      <c r="AO17" s="121"/>
      <c r="AP17" s="121"/>
      <c r="AQ17" s="121"/>
      <c r="AR17" s="121"/>
    </row>
    <row r="18" spans="2:44" ht="13.5" thickBot="1" x14ac:dyDescent="0.25">
      <c r="B18" s="3"/>
      <c r="C18" s="3"/>
      <c r="D18" s="84" t="s">
        <v>12</v>
      </c>
      <c r="E18" s="64"/>
      <c r="F18" s="85">
        <f>'PPS Data'!D21/Calculator!$D$11</f>
        <v>5.8975805882767865E-2</v>
      </c>
      <c r="G18" s="86">
        <f>F18*Calculator!$D$13</f>
        <v>1508.6600902870848</v>
      </c>
      <c r="H18" s="83"/>
      <c r="I18" s="87">
        <f>IF('PPS Data'!E21&gt;0,G18/'PPS Data'!E21,0)</f>
        <v>0</v>
      </c>
      <c r="J18" s="88">
        <f>I18*'PPS Data'!H21+I18</f>
        <v>0</v>
      </c>
      <c r="K18" s="68"/>
      <c r="L18" s="87">
        <f>J18*8</f>
        <v>0</v>
      </c>
      <c r="M18" s="89">
        <f t="shared" si="2"/>
        <v>0</v>
      </c>
      <c r="N18" s="93" t="str">
        <f>'PPS Data'!G21</f>
        <v>N/a</v>
      </c>
      <c r="O18" s="87">
        <f>L18</f>
        <v>0</v>
      </c>
      <c r="P18" s="68"/>
      <c r="Q18" s="87">
        <f>O18/56</f>
        <v>0</v>
      </c>
      <c r="R18" s="77"/>
      <c r="S18" s="73"/>
      <c r="T18" s="91"/>
      <c r="U18" s="91"/>
      <c r="V18" s="83"/>
      <c r="W18" s="91"/>
      <c r="X18" s="91"/>
      <c r="Y18" s="91"/>
      <c r="Z18" s="4"/>
      <c r="AA18" s="91"/>
      <c r="AB18" s="91"/>
      <c r="AC18" s="83"/>
      <c r="AD18" s="91"/>
      <c r="AE18" s="91"/>
      <c r="AF18" s="91"/>
      <c r="AG18" s="3"/>
      <c r="AH18" s="3"/>
      <c r="AI18" s="121"/>
      <c r="AJ18" s="121"/>
      <c r="AK18" s="121"/>
      <c r="AL18" s="121"/>
      <c r="AM18" s="121"/>
      <c r="AN18" s="121"/>
      <c r="AO18" s="121"/>
      <c r="AP18" s="121"/>
      <c r="AQ18" s="121"/>
      <c r="AR18" s="121"/>
    </row>
    <row r="19" spans="2:44" x14ac:dyDescent="0.2">
      <c r="B19" s="3"/>
      <c r="C19" s="3"/>
      <c r="D19" s="63" t="s">
        <v>13</v>
      </c>
      <c r="E19" s="64"/>
      <c r="F19" s="65">
        <f>'PPS Data'!D22/Calculator!$D$11</f>
        <v>0.18498271848769132</v>
      </c>
      <c r="G19" s="66">
        <f>F19*Calculator!$D$13</f>
        <v>4732.0429216336315</v>
      </c>
      <c r="H19" s="83"/>
      <c r="I19" s="67">
        <f>IF('PPS Data'!E22&gt;0,G19/'PPS Data'!E22,0)</f>
        <v>3.4283628412216967</v>
      </c>
      <c r="J19" s="67">
        <f>I19*'PPS Data'!H22+I19</f>
        <v>3.4283628412216967</v>
      </c>
      <c r="K19" s="68"/>
      <c r="L19" s="69">
        <f t="shared" si="1"/>
        <v>1.7141814206108483</v>
      </c>
      <c r="M19" s="69">
        <f t="shared" si="2"/>
        <v>3.4283628412216967</v>
      </c>
      <c r="N19" s="70">
        <f>'PPS Data'!G22</f>
        <v>1</v>
      </c>
      <c r="O19" s="69">
        <f>L19*N19</f>
        <v>1.7141814206108483</v>
      </c>
      <c r="P19" s="68"/>
      <c r="Q19" s="69">
        <f>O19</f>
        <v>1.7141814206108483</v>
      </c>
      <c r="R19" s="72">
        <f>ROUNDUP(Q19+Q20+Q21+Q22+Q23,0)</f>
        <v>4</v>
      </c>
      <c r="S19" s="73"/>
      <c r="T19" s="74">
        <v>115000</v>
      </c>
      <c r="U19" s="74">
        <f>SUM(Q19:Q23)*T19</f>
        <v>448732.09688227403</v>
      </c>
      <c r="V19" s="83"/>
      <c r="W19" s="74">
        <f>U19/100*4.7</f>
        <v>21090.408553466877</v>
      </c>
      <c r="X19" s="74">
        <f>U19/100*16.7</f>
        <v>74938.260179339748</v>
      </c>
      <c r="Y19" s="74">
        <f t="shared" ref="Y19" si="14">SUM(W19:X19)</f>
        <v>96028.668732806633</v>
      </c>
      <c r="Z19" s="4"/>
      <c r="AA19" s="74">
        <v>115000</v>
      </c>
      <c r="AB19" s="74">
        <f>R19*AA19</f>
        <v>460000</v>
      </c>
      <c r="AC19" s="83"/>
      <c r="AD19" s="74">
        <f>AB19/100*4.7</f>
        <v>21620</v>
      </c>
      <c r="AE19" s="74">
        <f>AB19/100*16.7</f>
        <v>76820</v>
      </c>
      <c r="AF19" s="74">
        <f t="shared" si="9"/>
        <v>98440</v>
      </c>
      <c r="AG19" s="3"/>
      <c r="AH19" s="3"/>
      <c r="AI19" s="121"/>
      <c r="AJ19" s="121"/>
      <c r="AK19" s="121"/>
      <c r="AL19" s="121"/>
      <c r="AM19" s="121"/>
      <c r="AN19" s="121"/>
      <c r="AO19" s="121"/>
      <c r="AP19" s="121"/>
      <c r="AQ19" s="121"/>
      <c r="AR19" s="121"/>
    </row>
    <row r="20" spans="2:44" x14ac:dyDescent="0.2">
      <c r="B20" s="3"/>
      <c r="C20" s="3"/>
      <c r="D20" s="75" t="s">
        <v>14</v>
      </c>
      <c r="E20" s="64"/>
      <c r="F20" s="65">
        <f>'PPS Data'!D23/Calculator!$D$11</f>
        <v>0.18498271848769132</v>
      </c>
      <c r="G20" s="66">
        <f>F20*Calculator!$D$13</f>
        <v>4732.0429216336315</v>
      </c>
      <c r="H20" s="83"/>
      <c r="I20" s="67">
        <f>IF('PPS Data'!E23&gt;0,G20/'PPS Data'!E23,0)</f>
        <v>0</v>
      </c>
      <c r="J20" s="67">
        <f>I20*'PPS Data'!H23+I20</f>
        <v>0</v>
      </c>
      <c r="K20" s="68"/>
      <c r="L20" s="76">
        <f t="shared" si="1"/>
        <v>0</v>
      </c>
      <c r="M20" s="69">
        <f t="shared" si="2"/>
        <v>0</v>
      </c>
      <c r="N20" s="70">
        <f>'PPS Data'!G23</f>
        <v>1</v>
      </c>
      <c r="O20" s="69">
        <f>L20*N20</f>
        <v>0</v>
      </c>
      <c r="P20" s="68"/>
      <c r="Q20" s="69">
        <f t="shared" ref="Q20:Q23" si="15">O20</f>
        <v>0</v>
      </c>
      <c r="R20" s="81"/>
      <c r="S20" s="73"/>
      <c r="T20" s="74"/>
      <c r="U20" s="74"/>
      <c r="V20" s="83"/>
      <c r="W20" s="74"/>
      <c r="X20" s="74"/>
      <c r="Y20" s="74"/>
      <c r="Z20" s="4"/>
      <c r="AA20" s="74"/>
      <c r="AB20" s="74"/>
      <c r="AC20" s="83"/>
      <c r="AD20" s="74"/>
      <c r="AE20" s="74"/>
      <c r="AF20" s="74"/>
      <c r="AG20" s="3"/>
      <c r="AH20" s="3"/>
      <c r="AI20" s="121"/>
      <c r="AJ20" s="121"/>
      <c r="AK20" s="121"/>
      <c r="AL20" s="121"/>
      <c r="AM20" s="121"/>
      <c r="AN20" s="121"/>
      <c r="AO20" s="121"/>
      <c r="AP20" s="121"/>
      <c r="AQ20" s="121"/>
      <c r="AR20" s="121"/>
    </row>
    <row r="21" spans="2:44" x14ac:dyDescent="0.2">
      <c r="B21" s="3"/>
      <c r="C21" s="3"/>
      <c r="D21" s="75" t="s">
        <v>15</v>
      </c>
      <c r="E21" s="64"/>
      <c r="F21" s="65">
        <f>'PPS Data'!D24/Calculator!$D$11</f>
        <v>3.0217958665444029E-2</v>
      </c>
      <c r="G21" s="66">
        <f>F21*Calculator!$D$13</f>
        <v>773.00560062072373</v>
      </c>
      <c r="H21" s="83"/>
      <c r="I21" s="67">
        <f>IF('PPS Data'!E24&gt;0,G21/'PPS Data'!E24,0)</f>
        <v>3.4283628412216971</v>
      </c>
      <c r="J21" s="67">
        <f>I21*'PPS Data'!H24+I21</f>
        <v>3.4283628412216971</v>
      </c>
      <c r="K21" s="68"/>
      <c r="L21" s="76">
        <f t="shared" si="1"/>
        <v>1.7141814206108485</v>
      </c>
      <c r="M21" s="69">
        <f t="shared" si="2"/>
        <v>3.4283628412216971</v>
      </c>
      <c r="N21" s="70">
        <f>'PPS Data'!G24</f>
        <v>1</v>
      </c>
      <c r="O21" s="69">
        <f>L21*N21</f>
        <v>1.7141814206108485</v>
      </c>
      <c r="P21" s="68"/>
      <c r="Q21" s="69">
        <f t="shared" si="15"/>
        <v>1.7141814206108485</v>
      </c>
      <c r="R21" s="81"/>
      <c r="S21" s="73"/>
      <c r="T21" s="74"/>
      <c r="U21" s="74"/>
      <c r="V21" s="83"/>
      <c r="W21" s="74"/>
      <c r="X21" s="74"/>
      <c r="Y21" s="74"/>
      <c r="Z21" s="4"/>
      <c r="AA21" s="74"/>
      <c r="AB21" s="74"/>
      <c r="AC21" s="83"/>
      <c r="AD21" s="74"/>
      <c r="AE21" s="74"/>
      <c r="AF21" s="74"/>
      <c r="AG21" s="3"/>
      <c r="AH21" s="3"/>
      <c r="AI21" s="121"/>
      <c r="AJ21" s="121"/>
      <c r="AK21" s="121"/>
      <c r="AL21" s="121"/>
      <c r="AM21" s="121"/>
      <c r="AN21" s="121"/>
      <c r="AO21" s="121"/>
      <c r="AP21" s="121"/>
      <c r="AQ21" s="121"/>
      <c r="AR21" s="121"/>
    </row>
    <row r="22" spans="2:44" x14ac:dyDescent="0.2">
      <c r="B22" s="3"/>
      <c r="C22" s="3"/>
      <c r="D22" s="82" t="s">
        <v>16</v>
      </c>
      <c r="E22" s="64"/>
      <c r="F22" s="65">
        <f>'PPS Data'!D25/Calculator!$D$11</f>
        <v>3.0217958665444029E-2</v>
      </c>
      <c r="G22" s="66">
        <f>F22*Calculator!$D$13</f>
        <v>773.00560062072373</v>
      </c>
      <c r="H22" s="83"/>
      <c r="I22" s="67">
        <f>IF('PPS Data'!E25&gt;0,G22/'PPS Data'!E25,0)</f>
        <v>0</v>
      </c>
      <c r="J22" s="67">
        <f>I22*'PPS Data'!H25+I22</f>
        <v>0</v>
      </c>
      <c r="K22" s="68"/>
      <c r="L22" s="76">
        <f t="shared" si="1"/>
        <v>0</v>
      </c>
      <c r="M22" s="69">
        <f t="shared" si="2"/>
        <v>0</v>
      </c>
      <c r="N22" s="70">
        <f>'PPS Data'!G25</f>
        <v>1</v>
      </c>
      <c r="O22" s="69">
        <f>L22*N22</f>
        <v>0</v>
      </c>
      <c r="P22" s="68"/>
      <c r="Q22" s="69">
        <f t="shared" si="15"/>
        <v>0</v>
      </c>
      <c r="R22" s="81"/>
      <c r="S22" s="73"/>
      <c r="T22" s="74"/>
      <c r="U22" s="74"/>
      <c r="V22" s="83"/>
      <c r="W22" s="74"/>
      <c r="X22" s="74"/>
      <c r="Y22" s="74"/>
      <c r="Z22" s="4"/>
      <c r="AA22" s="74"/>
      <c r="AB22" s="74"/>
      <c r="AC22" s="83"/>
      <c r="AD22" s="74"/>
      <c r="AE22" s="74"/>
      <c r="AF22" s="74"/>
      <c r="AG22" s="3"/>
      <c r="AH22" s="3"/>
      <c r="AI22" s="121"/>
      <c r="AJ22" s="121"/>
      <c r="AK22" s="121"/>
      <c r="AL22" s="121"/>
      <c r="AM22" s="121"/>
      <c r="AN22" s="121"/>
      <c r="AO22" s="121"/>
      <c r="AP22" s="121"/>
      <c r="AQ22" s="121"/>
      <c r="AR22" s="121"/>
    </row>
    <row r="23" spans="2:44" ht="13.5" thickBot="1" x14ac:dyDescent="0.25">
      <c r="B23" s="3"/>
      <c r="C23" s="3"/>
      <c r="D23" s="84" t="s">
        <v>17</v>
      </c>
      <c r="E23" s="64"/>
      <c r="F23" s="85">
        <f>'PPS Data'!D26/Calculator!$D$11</f>
        <v>6.7538971573675666E-2</v>
      </c>
      <c r="G23" s="86">
        <f>F23*Calculator!$D$13</f>
        <v>1727.7144318261971</v>
      </c>
      <c r="H23" s="83"/>
      <c r="I23" s="87">
        <f>IF('PPS Data'!E26&gt;0,G23/'PPS Data'!E26,0)</f>
        <v>3.7892431402976645</v>
      </c>
      <c r="J23" s="88">
        <f>I23*'PPS Data'!H26+I23</f>
        <v>3.7892431402976645</v>
      </c>
      <c r="K23" s="68"/>
      <c r="L23" s="87">
        <f t="shared" si="1"/>
        <v>1.8946215701488323</v>
      </c>
      <c r="M23" s="89">
        <f t="shared" si="2"/>
        <v>3.7892431402976645</v>
      </c>
      <c r="N23" s="90">
        <f>'PPS Data'!G26</f>
        <v>1</v>
      </c>
      <c r="O23" s="87">
        <f>SUM(L23*N23)/4</f>
        <v>0.47365539253720806</v>
      </c>
      <c r="P23" s="68"/>
      <c r="Q23" s="87">
        <f t="shared" si="15"/>
        <v>0.47365539253720806</v>
      </c>
      <c r="R23" s="77"/>
      <c r="S23" s="73"/>
      <c r="T23" s="91"/>
      <c r="U23" s="91"/>
      <c r="V23" s="83"/>
      <c r="W23" s="91"/>
      <c r="X23" s="91"/>
      <c r="Y23" s="91"/>
      <c r="Z23" s="4"/>
      <c r="AA23" s="91"/>
      <c r="AB23" s="91"/>
      <c r="AC23" s="83"/>
      <c r="AD23" s="91"/>
      <c r="AE23" s="91"/>
      <c r="AF23" s="91"/>
      <c r="AG23" s="3"/>
      <c r="AH23" s="3"/>
      <c r="AI23" s="121"/>
      <c r="AJ23" s="121"/>
      <c r="AK23" s="121"/>
      <c r="AL23" s="121"/>
      <c r="AM23" s="121"/>
      <c r="AN23" s="121"/>
      <c r="AO23" s="121"/>
      <c r="AP23" s="121"/>
      <c r="AQ23" s="121"/>
      <c r="AR23" s="121"/>
    </row>
    <row r="24" spans="2:44" x14ac:dyDescent="0.2">
      <c r="B24" s="3"/>
      <c r="C24" s="3"/>
      <c r="D24" s="63" t="s">
        <v>18</v>
      </c>
      <c r="E24" s="64"/>
      <c r="F24" s="65">
        <f>'PPS Data'!D27/Calculator!$D$11</f>
        <v>0</v>
      </c>
      <c r="G24" s="66">
        <f>F24*Calculator!$D$13</f>
        <v>0</v>
      </c>
      <c r="H24" s="83"/>
      <c r="I24" s="67">
        <f>IF('PPS Data'!E27&gt;0,G24/'PPS Data'!E27,0)</f>
        <v>0</v>
      </c>
      <c r="J24" s="67">
        <f>I24*'PPS Data'!H27+I24</f>
        <v>0</v>
      </c>
      <c r="K24" s="68"/>
      <c r="L24" s="69">
        <f t="shared" si="1"/>
        <v>0</v>
      </c>
      <c r="M24" s="69">
        <f t="shared" si="2"/>
        <v>0</v>
      </c>
      <c r="N24" s="70">
        <f>'PPS Data'!G27</f>
        <v>1</v>
      </c>
      <c r="O24" s="69">
        <f>L24*N24</f>
        <v>0</v>
      </c>
      <c r="P24" s="68"/>
      <c r="Q24" s="69">
        <f>O24</f>
        <v>0</v>
      </c>
      <c r="R24" s="72">
        <f>ROUNDUP(Q24+Q25+Q26+Q27+Q28,0)</f>
        <v>0</v>
      </c>
      <c r="S24" s="73"/>
      <c r="T24" s="74">
        <v>105000</v>
      </c>
      <c r="U24" s="74">
        <f>SUM(Q24:Q28)*T24</f>
        <v>0</v>
      </c>
      <c r="V24" s="83"/>
      <c r="W24" s="74">
        <f>U24/100*4.6</f>
        <v>0</v>
      </c>
      <c r="X24" s="74">
        <f>U24/100*17.5</f>
        <v>0</v>
      </c>
      <c r="Y24" s="74">
        <f t="shared" ref="Y24" si="16">SUM(W24:X24)</f>
        <v>0</v>
      </c>
      <c r="Z24" s="4"/>
      <c r="AA24" s="74">
        <v>100000</v>
      </c>
      <c r="AB24" s="74">
        <f>R24*AA24</f>
        <v>0</v>
      </c>
      <c r="AC24" s="83"/>
      <c r="AD24" s="74">
        <f>AB24/100*4.6</f>
        <v>0</v>
      </c>
      <c r="AE24" s="74">
        <f>AB24/100*17.5</f>
        <v>0</v>
      </c>
      <c r="AF24" s="74">
        <f t="shared" si="9"/>
        <v>0</v>
      </c>
      <c r="AG24" s="3"/>
      <c r="AH24" s="3"/>
      <c r="AI24" s="121"/>
      <c r="AJ24" s="121"/>
      <c r="AK24" s="121"/>
      <c r="AL24" s="121"/>
      <c r="AM24" s="121"/>
      <c r="AN24" s="121"/>
      <c r="AO24" s="121"/>
      <c r="AP24" s="121"/>
      <c r="AQ24" s="121"/>
      <c r="AR24" s="121"/>
    </row>
    <row r="25" spans="2:44" x14ac:dyDescent="0.2">
      <c r="B25" s="3"/>
      <c r="C25" s="3"/>
      <c r="D25" s="75" t="s">
        <v>19</v>
      </c>
      <c r="E25" s="64"/>
      <c r="F25" s="65">
        <f>'PPS Data'!D28/Calculator!$D$11</f>
        <v>0</v>
      </c>
      <c r="G25" s="66">
        <f>F25*Calculator!$D$13</f>
        <v>0</v>
      </c>
      <c r="H25" s="83"/>
      <c r="I25" s="67">
        <f>IF('PPS Data'!E28&gt;0,G25/'PPS Data'!E28,0)</f>
        <v>0</v>
      </c>
      <c r="J25" s="67">
        <f>I25*'PPS Data'!H28+I25</f>
        <v>0</v>
      </c>
      <c r="K25" s="68"/>
      <c r="L25" s="76">
        <f t="shared" si="1"/>
        <v>0</v>
      </c>
      <c r="M25" s="69">
        <f t="shared" si="2"/>
        <v>0</v>
      </c>
      <c r="N25" s="70">
        <f>'PPS Data'!G28</f>
        <v>1</v>
      </c>
      <c r="O25" s="69">
        <f>L25*N25</f>
        <v>0</v>
      </c>
      <c r="P25" s="68"/>
      <c r="Q25" s="69">
        <f t="shared" ref="Q25:Q28" si="17">O25</f>
        <v>0</v>
      </c>
      <c r="R25" s="81"/>
      <c r="S25" s="73"/>
      <c r="T25" s="74"/>
      <c r="U25" s="74"/>
      <c r="V25" s="83"/>
      <c r="W25" s="74"/>
      <c r="X25" s="74"/>
      <c r="Y25" s="74"/>
      <c r="Z25" s="4"/>
      <c r="AA25" s="74"/>
      <c r="AB25" s="74"/>
      <c r="AC25" s="83"/>
      <c r="AD25" s="74"/>
      <c r="AE25" s="74"/>
      <c r="AF25" s="74"/>
      <c r="AG25" s="3"/>
      <c r="AH25" s="3"/>
      <c r="AI25" s="121"/>
      <c r="AJ25" s="121"/>
      <c r="AK25" s="121"/>
      <c r="AL25" s="121"/>
      <c r="AM25" s="121"/>
      <c r="AN25" s="121"/>
      <c r="AO25" s="121"/>
      <c r="AP25" s="121"/>
      <c r="AQ25" s="121"/>
      <c r="AR25" s="121"/>
    </row>
    <row r="26" spans="2:44" x14ac:dyDescent="0.2">
      <c r="B26" s="3"/>
      <c r="C26" s="3"/>
      <c r="D26" s="75" t="s">
        <v>20</v>
      </c>
      <c r="E26" s="64"/>
      <c r="F26" s="65">
        <f>'PPS Data'!D29/Calculator!$D$11</f>
        <v>0</v>
      </c>
      <c r="G26" s="66">
        <f>F26*Calculator!$D$13</f>
        <v>0</v>
      </c>
      <c r="H26" s="83"/>
      <c r="I26" s="67">
        <f>IF('PPS Data'!E29&gt;0,G26/'PPS Data'!E29,0)</f>
        <v>0</v>
      </c>
      <c r="J26" s="67">
        <f>I26*'PPS Data'!H29+I26</f>
        <v>0</v>
      </c>
      <c r="K26" s="68"/>
      <c r="L26" s="76">
        <f t="shared" si="1"/>
        <v>0</v>
      </c>
      <c r="M26" s="69">
        <f t="shared" si="2"/>
        <v>0</v>
      </c>
      <c r="N26" s="70">
        <f>'PPS Data'!G29</f>
        <v>1</v>
      </c>
      <c r="O26" s="69">
        <f>L26*N26</f>
        <v>0</v>
      </c>
      <c r="P26" s="68"/>
      <c r="Q26" s="69">
        <f t="shared" si="17"/>
        <v>0</v>
      </c>
      <c r="R26" s="81"/>
      <c r="S26" s="73"/>
      <c r="T26" s="74"/>
      <c r="U26" s="74"/>
      <c r="V26" s="83"/>
      <c r="W26" s="74"/>
      <c r="X26" s="74"/>
      <c r="Y26" s="74"/>
      <c r="Z26" s="4"/>
      <c r="AA26" s="74"/>
      <c r="AB26" s="74"/>
      <c r="AC26" s="83"/>
      <c r="AD26" s="74"/>
      <c r="AE26" s="74"/>
      <c r="AF26" s="74"/>
      <c r="AG26" s="3"/>
      <c r="AH26" s="3"/>
      <c r="AI26" s="121"/>
      <c r="AJ26" s="121"/>
      <c r="AK26" s="121"/>
      <c r="AL26" s="121"/>
      <c r="AM26" s="121"/>
      <c r="AN26" s="121"/>
      <c r="AO26" s="121"/>
      <c r="AP26" s="121"/>
      <c r="AQ26" s="121"/>
      <c r="AR26" s="121"/>
    </row>
    <row r="27" spans="2:44" x14ac:dyDescent="0.2">
      <c r="B27" s="3"/>
      <c r="C27" s="3"/>
      <c r="D27" s="82" t="s">
        <v>21</v>
      </c>
      <c r="E27" s="64"/>
      <c r="F27" s="65">
        <f>'PPS Data'!D30/Calculator!$D$11</f>
        <v>0</v>
      </c>
      <c r="G27" s="66">
        <f>F27*Calculator!$D$13</f>
        <v>0</v>
      </c>
      <c r="H27" s="83"/>
      <c r="I27" s="67">
        <f>IF('PPS Data'!E30&gt;0,G27/'PPS Data'!E30,0)</f>
        <v>0</v>
      </c>
      <c r="J27" s="67">
        <f>I27*'PPS Data'!H30+I27</f>
        <v>0</v>
      </c>
      <c r="K27" s="68"/>
      <c r="L27" s="76">
        <f t="shared" si="1"/>
        <v>0</v>
      </c>
      <c r="M27" s="69">
        <f t="shared" si="2"/>
        <v>0</v>
      </c>
      <c r="N27" s="70">
        <f>'PPS Data'!G30</f>
        <v>1</v>
      </c>
      <c r="O27" s="69">
        <f>L27*N27</f>
        <v>0</v>
      </c>
      <c r="P27" s="68"/>
      <c r="Q27" s="69">
        <f t="shared" si="17"/>
        <v>0</v>
      </c>
      <c r="R27" s="81"/>
      <c r="S27" s="73"/>
      <c r="T27" s="74"/>
      <c r="U27" s="74"/>
      <c r="V27" s="83"/>
      <c r="W27" s="74"/>
      <c r="X27" s="74"/>
      <c r="Y27" s="74"/>
      <c r="Z27" s="4"/>
      <c r="AA27" s="74"/>
      <c r="AB27" s="74"/>
      <c r="AC27" s="83"/>
      <c r="AD27" s="74"/>
      <c r="AE27" s="74"/>
      <c r="AF27" s="74"/>
      <c r="AG27" s="3"/>
      <c r="AH27" s="3"/>
      <c r="AI27" s="121"/>
      <c r="AJ27" s="121"/>
      <c r="AK27" s="121"/>
      <c r="AL27" s="121"/>
      <c r="AM27" s="121"/>
      <c r="AN27" s="121"/>
      <c r="AO27" s="121"/>
      <c r="AP27" s="121"/>
      <c r="AQ27" s="121"/>
      <c r="AR27" s="121"/>
    </row>
    <row r="28" spans="2:44" ht="13.5" thickBot="1" x14ac:dyDescent="0.25">
      <c r="B28" s="3"/>
      <c r="C28" s="3"/>
      <c r="D28" s="84" t="s">
        <v>22</v>
      </c>
      <c r="E28" s="64"/>
      <c r="F28" s="85">
        <f>'PPS Data'!D31/Calculator!$D$11</f>
        <v>0</v>
      </c>
      <c r="G28" s="86">
        <f>F28*Calculator!$D$13</f>
        <v>0</v>
      </c>
      <c r="H28" s="83"/>
      <c r="I28" s="87">
        <f>IF('PPS Data'!E31&gt;0,G28/'PPS Data'!E31,0)</f>
        <v>0</v>
      </c>
      <c r="J28" s="88">
        <f>I28*'PPS Data'!H31+I28</f>
        <v>0</v>
      </c>
      <c r="K28" s="68"/>
      <c r="L28" s="87">
        <f t="shared" si="1"/>
        <v>0</v>
      </c>
      <c r="M28" s="89">
        <f t="shared" si="2"/>
        <v>0</v>
      </c>
      <c r="N28" s="90">
        <f>'PPS Data'!G31</f>
        <v>1</v>
      </c>
      <c r="O28" s="87">
        <f>SUM(L28*N28)/4</f>
        <v>0</v>
      </c>
      <c r="P28" s="68"/>
      <c r="Q28" s="94">
        <f t="shared" si="17"/>
        <v>0</v>
      </c>
      <c r="R28" s="95"/>
      <c r="S28" s="73"/>
      <c r="T28" s="91"/>
      <c r="U28" s="91"/>
      <c r="V28" s="83"/>
      <c r="W28" s="91"/>
      <c r="X28" s="91"/>
      <c r="Y28" s="91"/>
      <c r="Z28" s="4"/>
      <c r="AA28" s="91"/>
      <c r="AB28" s="91"/>
      <c r="AC28" s="83"/>
      <c r="AD28" s="91"/>
      <c r="AE28" s="91"/>
      <c r="AF28" s="91"/>
      <c r="AG28" s="3"/>
      <c r="AH28" s="3"/>
      <c r="AI28" s="121"/>
      <c r="AJ28" s="121"/>
      <c r="AK28" s="121"/>
      <c r="AL28" s="121"/>
      <c r="AM28" s="121"/>
      <c r="AN28" s="121"/>
      <c r="AO28" s="121"/>
      <c r="AP28" s="121"/>
      <c r="AQ28" s="121"/>
      <c r="AR28" s="121"/>
    </row>
    <row r="29" spans="2:44" x14ac:dyDescent="0.2">
      <c r="B29" s="3"/>
      <c r="C29" s="3"/>
      <c r="D29" s="63" t="s">
        <v>23</v>
      </c>
      <c r="E29" s="64"/>
      <c r="F29" s="65">
        <f>'PPS Data'!D32/Calculator!$D$11</f>
        <v>0.26878747266699582</v>
      </c>
      <c r="G29" s="66">
        <f>F29*Calculator!$D$13</f>
        <v>6875.8523382944204</v>
      </c>
      <c r="H29" s="83"/>
      <c r="I29" s="67">
        <f>IF('PPS Data'!E32&gt;0,G29/'PPS Data'!E32,0)</f>
        <v>2.3457219439937926</v>
      </c>
      <c r="J29" s="67">
        <f>I29*'PPS Data'!H32+I29</f>
        <v>2.3457219439937926</v>
      </c>
      <c r="K29" s="68"/>
      <c r="L29" s="69">
        <f t="shared" si="1"/>
        <v>1.1728609719968963</v>
      </c>
      <c r="M29" s="69">
        <f t="shared" si="2"/>
        <v>2.3457219439937926</v>
      </c>
      <c r="N29" s="70">
        <f>'PPS Data'!G32</f>
        <v>1</v>
      </c>
      <c r="O29" s="69">
        <f>L29*N29</f>
        <v>1.1728609719968963</v>
      </c>
      <c r="P29" s="96"/>
      <c r="Q29" s="69">
        <f>O29</f>
        <v>1.1728609719968963</v>
      </c>
      <c r="R29" s="97">
        <f>ROUNDUP(Q29+Q30+Q31+Q32/4,0)</f>
        <v>3</v>
      </c>
      <c r="S29" s="73"/>
      <c r="T29" s="78">
        <v>775000</v>
      </c>
      <c r="U29" s="78">
        <f>SUM(Q29:Q32)/4*T29</f>
        <v>576844.60305424279</v>
      </c>
      <c r="V29" s="83"/>
      <c r="W29" s="98">
        <f>U29/100*2.6</f>
        <v>14997.959679410314</v>
      </c>
      <c r="X29" s="98">
        <f>U29/100*0.5</f>
        <v>2884.2230152712141</v>
      </c>
      <c r="Y29" s="98">
        <f>SUM(W29:X29)</f>
        <v>17882.182694681527</v>
      </c>
      <c r="Z29" s="4"/>
      <c r="AA29" s="78">
        <v>760000</v>
      </c>
      <c r="AB29" s="78">
        <f>R29*AA29</f>
        <v>2280000</v>
      </c>
      <c r="AC29" s="83"/>
      <c r="AD29" s="99">
        <f>AB29/100*2.6</f>
        <v>59280</v>
      </c>
      <c r="AE29" s="99">
        <f>AB29/100*0.5</f>
        <v>11400</v>
      </c>
      <c r="AF29" s="99">
        <f>SUM(AD29:AE29)</f>
        <v>70680</v>
      </c>
      <c r="AG29" s="3"/>
      <c r="AH29" s="3"/>
      <c r="AI29" s="121"/>
      <c r="AJ29" s="121"/>
      <c r="AK29" s="121"/>
      <c r="AL29" s="121"/>
      <c r="AM29" s="121"/>
      <c r="AN29" s="121"/>
      <c r="AO29" s="121"/>
      <c r="AP29" s="121"/>
      <c r="AQ29" s="121"/>
      <c r="AR29" s="121"/>
    </row>
    <row r="30" spans="2:44" x14ac:dyDescent="0.2">
      <c r="B30" s="3"/>
      <c r="C30" s="3"/>
      <c r="D30" s="75" t="s">
        <v>24</v>
      </c>
      <c r="E30" s="64"/>
      <c r="F30" s="65">
        <f>'PPS Data'!D33/Calculator!$D$11</f>
        <v>0.26878747266699582</v>
      </c>
      <c r="G30" s="66">
        <f>F30*Calculator!$D$13</f>
        <v>6875.8523382944204</v>
      </c>
      <c r="H30" s="83"/>
      <c r="I30" s="67">
        <f>IF('PPS Data'!E33&gt;0,G30/'PPS Data'!E33,0)</f>
        <v>2.1652817944558085</v>
      </c>
      <c r="J30" s="67">
        <f>I30*'PPS Data'!H33+I30</f>
        <v>2.1652817944558085</v>
      </c>
      <c r="K30" s="68"/>
      <c r="L30" s="76">
        <f t="shared" si="1"/>
        <v>1.0826408972279042</v>
      </c>
      <c r="M30" s="69">
        <f t="shared" si="2"/>
        <v>2.1652817944558085</v>
      </c>
      <c r="N30" s="70">
        <f>'PPS Data'!G33</f>
        <v>1</v>
      </c>
      <c r="O30" s="69">
        <f>L30*N30</f>
        <v>1.0826408972279042</v>
      </c>
      <c r="P30" s="96"/>
      <c r="Q30" s="69">
        <f t="shared" ref="Q30:Q32" si="18">O30</f>
        <v>1.0826408972279042</v>
      </c>
      <c r="R30" s="100"/>
      <c r="S30" s="100"/>
      <c r="T30" s="101"/>
      <c r="U30" s="102"/>
      <c r="V30" s="3"/>
      <c r="W30" s="4"/>
      <c r="X30" s="4"/>
      <c r="Y30" s="4"/>
      <c r="Z30" s="4"/>
      <c r="AA30" s="101"/>
      <c r="AB30" s="102"/>
      <c r="AC30" s="3"/>
      <c r="AD30" s="4"/>
      <c r="AE30" s="4"/>
      <c r="AF30" s="4"/>
      <c r="AG30" s="3"/>
      <c r="AH30" s="3"/>
      <c r="AI30" s="121"/>
      <c r="AJ30" s="121"/>
      <c r="AK30" s="121"/>
      <c r="AL30" s="121"/>
      <c r="AM30" s="121"/>
      <c r="AN30" s="121"/>
      <c r="AO30" s="121"/>
      <c r="AP30" s="121"/>
      <c r="AQ30" s="121"/>
      <c r="AR30" s="121"/>
    </row>
    <row r="31" spans="2:44" x14ac:dyDescent="0.2">
      <c r="B31" s="3"/>
      <c r="C31" s="3"/>
      <c r="D31" s="82" t="s">
        <v>25</v>
      </c>
      <c r="E31" s="64"/>
      <c r="F31" s="65">
        <f>'PPS Data'!D34/Calculator!$D$11</f>
        <v>2.612682513931015E-2</v>
      </c>
      <c r="G31" s="66">
        <f>F31*Calculator!$D$13</f>
        <v>668.35031388869288</v>
      </c>
      <c r="H31" s="83"/>
      <c r="I31" s="67">
        <f>IF('PPS Data'!E34&gt;0,G31/'PPS Data'!E34,0)</f>
        <v>0.72176059815193616</v>
      </c>
      <c r="J31" s="67">
        <f>I31*'PPS Data'!H34+I31</f>
        <v>0.72176059815193616</v>
      </c>
      <c r="K31" s="68"/>
      <c r="L31" s="76">
        <f t="shared" si="1"/>
        <v>0.36088029907596808</v>
      </c>
      <c r="M31" s="69">
        <f t="shared" si="2"/>
        <v>0.72176059815193616</v>
      </c>
      <c r="N31" s="70">
        <f>'PPS Data'!G34</f>
        <v>1</v>
      </c>
      <c r="O31" s="69">
        <f>L31*N31</f>
        <v>0.36088029907596808</v>
      </c>
      <c r="P31" s="96"/>
      <c r="Q31" s="69">
        <f t="shared" si="18"/>
        <v>0.36088029907596808</v>
      </c>
      <c r="R31" s="100"/>
      <c r="S31" s="100"/>
      <c r="T31" s="103"/>
      <c r="U31" s="4"/>
      <c r="V31" s="3"/>
      <c r="W31" s="4"/>
      <c r="X31" s="4"/>
      <c r="Y31" s="4"/>
      <c r="Z31" s="4"/>
      <c r="AA31" s="103"/>
      <c r="AB31" s="4"/>
      <c r="AC31" s="3"/>
      <c r="AD31" s="4"/>
      <c r="AE31" s="4"/>
      <c r="AF31" s="4"/>
      <c r="AG31" s="3"/>
      <c r="AH31" s="3"/>
      <c r="AI31" s="121"/>
      <c r="AJ31" s="121"/>
      <c r="AK31" s="121"/>
      <c r="AL31" s="121"/>
      <c r="AM31" s="121"/>
      <c r="AN31" s="121"/>
      <c r="AO31" s="121"/>
      <c r="AP31" s="121"/>
      <c r="AQ31" s="121"/>
      <c r="AR31" s="121"/>
    </row>
    <row r="32" spans="2:44" ht="13.5" thickBot="1" x14ac:dyDescent="0.25">
      <c r="B32" s="3"/>
      <c r="C32" s="3"/>
      <c r="D32" s="84" t="s">
        <v>26</v>
      </c>
      <c r="E32" s="64"/>
      <c r="F32" s="85">
        <f>'PPS Data'!D35/Calculator!$D$11</f>
        <v>2.612682513931015E-2</v>
      </c>
      <c r="G32" s="86">
        <f>F32*Calculator!$D$13</f>
        <v>668.35031388869288</v>
      </c>
      <c r="H32" s="83"/>
      <c r="I32" s="87">
        <f>IF('PPS Data'!E35&gt;0,G32/'PPS Data'!E35,0)</f>
        <v>0.72176059815193616</v>
      </c>
      <c r="J32" s="88">
        <f>I32*'PPS Data'!H35+I32</f>
        <v>0.72176059815193616</v>
      </c>
      <c r="K32" s="68"/>
      <c r="L32" s="87">
        <f t="shared" si="1"/>
        <v>0.36088029907596808</v>
      </c>
      <c r="M32" s="89">
        <f t="shared" si="2"/>
        <v>0.72176059815193616</v>
      </c>
      <c r="N32" s="90">
        <f>'PPS Data'!G35</f>
        <v>1</v>
      </c>
      <c r="O32" s="87">
        <f>L32*N32</f>
        <v>0.36088029907596808</v>
      </c>
      <c r="P32" s="96"/>
      <c r="Q32" s="104">
        <f t="shared" si="18"/>
        <v>0.36088029907596808</v>
      </c>
      <c r="R32" s="100"/>
      <c r="S32" s="100"/>
      <c r="T32" s="105"/>
      <c r="U32" s="106"/>
      <c r="V32" s="3"/>
      <c r="W32" s="4"/>
      <c r="X32" s="4"/>
      <c r="Y32" s="4"/>
      <c r="Z32" s="4"/>
      <c r="AA32" s="105"/>
      <c r="AB32" s="106"/>
      <c r="AC32" s="3"/>
      <c r="AD32" s="4"/>
      <c r="AE32" s="4"/>
      <c r="AF32" s="4"/>
      <c r="AG32" s="3"/>
      <c r="AH32" s="3"/>
      <c r="AI32" s="121"/>
      <c r="AJ32" s="121"/>
      <c r="AK32" s="121"/>
      <c r="AL32" s="121"/>
      <c r="AM32" s="121"/>
      <c r="AN32" s="121"/>
      <c r="AO32" s="121"/>
      <c r="AP32" s="121"/>
      <c r="AQ32" s="121"/>
      <c r="AR32" s="121"/>
    </row>
    <row r="33" spans="2:49" x14ac:dyDescent="0.2">
      <c r="B33" s="3"/>
      <c r="C33" s="3"/>
      <c r="D33" s="3"/>
      <c r="E33" s="3"/>
      <c r="F33" s="3"/>
      <c r="G33" s="3"/>
      <c r="H33" s="3"/>
      <c r="I33" s="3"/>
      <c r="J33" s="3"/>
      <c r="K33" s="3"/>
      <c r="L33" s="3"/>
      <c r="M33" s="6"/>
      <c r="N33" s="107" t="s">
        <v>30</v>
      </c>
      <c r="O33" s="108">
        <f>SUM(O7:O32)</f>
        <v>182.55165098736441</v>
      </c>
      <c r="P33" s="100"/>
      <c r="Q33" s="109">
        <f>SUM(Q7:Q28)+(SUM(Q29:Q32)/4)</f>
        <v>24.254359963261141</v>
      </c>
      <c r="R33" s="110">
        <f>SUM(R7:R29)</f>
        <v>29</v>
      </c>
      <c r="S33" s="73"/>
      <c r="T33" s="111" t="s">
        <v>30</v>
      </c>
      <c r="U33" s="78">
        <f>SUM(U7:U32)</f>
        <v>2803935.8452346926</v>
      </c>
      <c r="V33" s="3"/>
      <c r="W33" s="112">
        <f>SUM(W7:W32)</f>
        <v>116869.89297186899</v>
      </c>
      <c r="X33" s="112">
        <f>SUM(X7:X32)</f>
        <v>363094.949908084</v>
      </c>
      <c r="Y33" s="99">
        <f>SUM(Y7:Y32)</f>
        <v>479964.84287995304</v>
      </c>
      <c r="Z33" s="4"/>
      <c r="AA33" s="111" t="s">
        <v>30</v>
      </c>
      <c r="AB33" s="78">
        <f>SUM(AB7:AB32)</f>
        <v>4770000</v>
      </c>
      <c r="AC33" s="3"/>
      <c r="AD33" s="112">
        <f>SUM(AD7:AD32)</f>
        <v>173000</v>
      </c>
      <c r="AE33" s="112">
        <f>SUM(AE7:AE32)</f>
        <v>414280</v>
      </c>
      <c r="AF33" s="99">
        <f>SUM(AF7:AF32)</f>
        <v>587280</v>
      </c>
      <c r="AG33" s="3"/>
      <c r="AH33" s="3"/>
      <c r="AI33" s="121"/>
      <c r="AJ33" s="121"/>
      <c r="AK33" s="121"/>
      <c r="AL33" s="121"/>
      <c r="AM33" s="121"/>
      <c r="AN33" s="121"/>
      <c r="AO33" s="121"/>
      <c r="AP33" s="121"/>
      <c r="AQ33" s="121"/>
      <c r="AR33" s="121"/>
    </row>
    <row r="34" spans="2:49" ht="21" customHeight="1" x14ac:dyDescent="0.2">
      <c r="B34" s="3"/>
      <c r="C34" s="3"/>
      <c r="D34" s="3"/>
      <c r="E34" s="3"/>
      <c r="F34" s="3"/>
      <c r="G34" s="3"/>
      <c r="H34" s="3"/>
      <c r="I34" s="3"/>
      <c r="J34" s="3"/>
      <c r="K34" s="3"/>
      <c r="L34" s="3"/>
      <c r="M34" s="6"/>
      <c r="N34" s="113"/>
      <c r="O34" s="100"/>
      <c r="P34" s="100"/>
      <c r="Q34" s="100"/>
      <c r="R34" s="73"/>
      <c r="S34" s="73"/>
      <c r="T34" s="235" t="s">
        <v>492</v>
      </c>
      <c r="U34" s="235"/>
      <c r="V34" s="235"/>
      <c r="W34" s="235"/>
      <c r="X34" s="235"/>
      <c r="Y34" s="235"/>
      <c r="Z34" s="4"/>
      <c r="AA34" s="113"/>
      <c r="AB34" s="4"/>
      <c r="AC34" s="3"/>
      <c r="AD34" s="114"/>
      <c r="AE34" s="114"/>
      <c r="AF34" s="4"/>
      <c r="AG34" s="3"/>
      <c r="AH34" s="3"/>
      <c r="AI34" s="121"/>
      <c r="AJ34" s="121"/>
      <c r="AK34" s="121"/>
      <c r="AL34" s="121"/>
      <c r="AM34" s="121"/>
      <c r="AN34" s="121"/>
      <c r="AO34" s="121"/>
      <c r="AP34" s="121"/>
      <c r="AQ34" s="121"/>
      <c r="AR34" s="121"/>
    </row>
    <row r="35" spans="2:49" ht="42.75" customHeight="1" x14ac:dyDescent="0.2">
      <c r="B35" s="3"/>
      <c r="C35" s="3"/>
      <c r="D35" s="3"/>
      <c r="E35" s="3"/>
      <c r="F35" s="3"/>
      <c r="G35" s="3"/>
      <c r="H35" s="3"/>
      <c r="I35" s="3"/>
      <c r="J35" s="3"/>
      <c r="K35" s="3"/>
      <c r="L35" s="3"/>
      <c r="M35" s="6"/>
      <c r="N35" s="3"/>
      <c r="O35" s="6"/>
      <c r="P35" s="6"/>
      <c r="Q35" s="3"/>
      <c r="R35" s="3"/>
      <c r="S35" s="3"/>
      <c r="T35" s="234" t="s">
        <v>565</v>
      </c>
      <c r="U35" s="234"/>
      <c r="V35" s="234"/>
      <c r="W35" s="234"/>
      <c r="X35" s="234"/>
      <c r="Y35" s="234"/>
      <c r="Z35" s="3"/>
      <c r="AA35" s="3"/>
      <c r="AB35" s="3"/>
      <c r="AC35" s="3"/>
      <c r="AD35" s="3"/>
      <c r="AE35" s="3"/>
      <c r="AF35" s="3"/>
      <c r="AG35" s="3"/>
      <c r="AH35" s="3"/>
      <c r="AI35" s="121"/>
      <c r="AJ35" s="121"/>
      <c r="AK35" s="121"/>
      <c r="AL35" s="121"/>
      <c r="AM35" s="121"/>
      <c r="AN35" s="121"/>
      <c r="AO35" s="121"/>
      <c r="AP35" s="121"/>
      <c r="AQ35" s="121"/>
      <c r="AR35" s="121"/>
    </row>
    <row r="36" spans="2:49" ht="31.5" customHeight="1" x14ac:dyDescent="0.2">
      <c r="B36" s="3"/>
      <c r="C36" s="3"/>
      <c r="D36" s="3"/>
      <c r="E36" s="3"/>
      <c r="F36" s="3"/>
      <c r="G36" s="3"/>
      <c r="H36" s="3"/>
      <c r="I36" s="3"/>
      <c r="J36" s="3"/>
      <c r="K36" s="3"/>
      <c r="L36" s="3"/>
      <c r="M36" s="6"/>
      <c r="N36" s="3"/>
      <c r="O36" s="6"/>
      <c r="P36" s="6"/>
      <c r="Q36" s="3"/>
      <c r="R36" s="3"/>
      <c r="S36" s="3"/>
      <c r="T36" s="231" t="s">
        <v>494</v>
      </c>
      <c r="U36" s="219"/>
      <c r="V36" s="219"/>
      <c r="W36" s="219"/>
      <c r="X36" s="219"/>
      <c r="Y36" s="219"/>
      <c r="Z36" s="3"/>
      <c r="AA36" s="3"/>
      <c r="AB36" s="3"/>
      <c r="AC36" s="3"/>
      <c r="AD36" s="3"/>
      <c r="AE36" s="3"/>
      <c r="AF36" s="3"/>
      <c r="AG36" s="3"/>
      <c r="AH36" s="3"/>
      <c r="AI36" s="121"/>
      <c r="AJ36" s="121"/>
      <c r="AK36" s="121"/>
      <c r="AL36" s="121"/>
      <c r="AM36" s="121"/>
      <c r="AN36" s="121"/>
      <c r="AO36" s="121"/>
      <c r="AP36" s="121"/>
      <c r="AQ36" s="121"/>
      <c r="AR36" s="121"/>
    </row>
    <row r="37" spans="2:49" x14ac:dyDescent="0.2">
      <c r="B37" s="3"/>
      <c r="C37" s="3"/>
      <c r="D37" s="3"/>
      <c r="E37" s="3"/>
      <c r="F37" s="3"/>
      <c r="G37" s="3"/>
      <c r="H37" s="3"/>
      <c r="I37" s="3"/>
      <c r="J37" s="3"/>
      <c r="K37" s="3"/>
      <c r="L37" s="3"/>
      <c r="M37" s="6"/>
      <c r="N37" s="3"/>
      <c r="O37" s="122"/>
      <c r="P37" s="122"/>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row>
    <row r="38" spans="2:49" ht="21.75" customHeight="1" x14ac:dyDescent="0.2">
      <c r="B38" s="3"/>
      <c r="C38" s="3"/>
      <c r="D38" s="130" t="s">
        <v>469</v>
      </c>
      <c r="E38" s="3"/>
      <c r="F38" s="3"/>
      <c r="G38" s="3"/>
      <c r="H38" s="3"/>
      <c r="I38" s="3"/>
      <c r="J38" s="3"/>
      <c r="K38" s="3"/>
      <c r="L38" s="3"/>
      <c r="M38" s="6"/>
      <c r="N38" s="3"/>
      <c r="O38" s="122"/>
      <c r="P38" s="122"/>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row>
    <row r="39" spans="2:49" x14ac:dyDescent="0.2">
      <c r="B39" s="3"/>
      <c r="C39" s="3"/>
      <c r="D39" s="115" t="s">
        <v>372</v>
      </c>
      <c r="E39" s="115"/>
      <c r="F39" s="115" t="s">
        <v>373</v>
      </c>
      <c r="G39" s="115" t="s">
        <v>470</v>
      </c>
      <c r="H39" s="3"/>
      <c r="I39" s="3"/>
      <c r="J39" s="116" t="s">
        <v>456</v>
      </c>
      <c r="K39" s="116"/>
      <c r="L39" s="117"/>
      <c r="M39" s="6"/>
      <c r="N39" s="129"/>
      <c r="O39" s="122"/>
      <c r="P39" s="122"/>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row>
    <row r="40" spans="2:49" x14ac:dyDescent="0.2">
      <c r="B40" s="3"/>
      <c r="C40" s="3"/>
      <c r="D40" s="118" t="s">
        <v>36</v>
      </c>
      <c r="E40" s="118"/>
      <c r="F40" s="118" t="s">
        <v>454</v>
      </c>
      <c r="G40" s="118">
        <f>LOOKUP(F40,$J$41:$J$121,$L$41:$L$121)</f>
        <v>1.1599999999999999</v>
      </c>
      <c r="H40" s="15"/>
      <c r="I40" s="15"/>
      <c r="J40" s="119" t="s">
        <v>373</v>
      </c>
      <c r="K40" s="119"/>
      <c r="L40" s="156" t="s">
        <v>495</v>
      </c>
      <c r="M40" s="6"/>
      <c r="N40" s="3"/>
      <c r="O40" s="122"/>
      <c r="P40" s="122"/>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row>
    <row r="41" spans="2:49" x14ac:dyDescent="0.2">
      <c r="B41" s="3"/>
      <c r="C41" s="3"/>
      <c r="D41" s="118" t="s">
        <v>37</v>
      </c>
      <c r="E41" s="118"/>
      <c r="F41" s="118" t="s">
        <v>387</v>
      </c>
      <c r="G41" s="118">
        <f t="shared" ref="G41:G104" si="19">LOOKUP(F41,$J$41:$J$121,$L$41:$L$121)</f>
        <v>0.99</v>
      </c>
      <c r="H41" s="15"/>
      <c r="I41" s="15"/>
      <c r="J41" s="120" t="s">
        <v>380</v>
      </c>
      <c r="K41" s="120"/>
      <c r="L41" s="154">
        <v>1</v>
      </c>
      <c r="M41" s="6"/>
      <c r="N41" s="3"/>
      <c r="O41" s="122"/>
      <c r="P41" s="122"/>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row>
    <row r="42" spans="2:49" x14ac:dyDescent="0.2">
      <c r="B42" s="3"/>
      <c r="C42" s="3"/>
      <c r="D42" s="118" t="s">
        <v>38</v>
      </c>
      <c r="E42" s="118"/>
      <c r="F42" s="118" t="s">
        <v>388</v>
      </c>
      <c r="G42" s="118">
        <f t="shared" si="19"/>
        <v>0.92</v>
      </c>
      <c r="H42" s="15"/>
      <c r="I42" s="15"/>
      <c r="J42" s="120" t="s">
        <v>381</v>
      </c>
      <c r="K42" s="120"/>
      <c r="L42" s="154">
        <v>1.04</v>
      </c>
      <c r="M42" s="6"/>
      <c r="N42" s="3"/>
      <c r="O42" s="122"/>
      <c r="P42" s="122"/>
      <c r="Q42" s="121"/>
      <c r="R42" s="121"/>
      <c r="S42" s="121"/>
      <c r="T42" s="126"/>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row>
    <row r="43" spans="2:49" x14ac:dyDescent="0.2">
      <c r="B43" s="3"/>
      <c r="C43" s="3"/>
      <c r="D43" s="118" t="s">
        <v>39</v>
      </c>
      <c r="E43" s="118"/>
      <c r="F43" s="118" t="s">
        <v>454</v>
      </c>
      <c r="G43" s="118">
        <f t="shared" si="19"/>
        <v>1.1599999999999999</v>
      </c>
      <c r="H43" s="15"/>
      <c r="I43" s="15"/>
      <c r="J43" s="120" t="s">
        <v>382</v>
      </c>
      <c r="K43" s="120"/>
      <c r="L43" s="154">
        <v>1.1599999999999999</v>
      </c>
      <c r="M43" s="6"/>
      <c r="N43" s="3"/>
      <c r="O43" s="122"/>
      <c r="P43" s="122"/>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row>
    <row r="44" spans="2:49" x14ac:dyDescent="0.2">
      <c r="B44" s="3"/>
      <c r="C44" s="3"/>
      <c r="D44" s="118" t="s">
        <v>40</v>
      </c>
      <c r="E44" s="118"/>
      <c r="F44" s="118" t="s">
        <v>442</v>
      </c>
      <c r="G44" s="118">
        <f t="shared" si="19"/>
        <v>0.91</v>
      </c>
      <c r="H44" s="15"/>
      <c r="I44" s="15"/>
      <c r="J44" s="120" t="s">
        <v>383</v>
      </c>
      <c r="K44" s="120"/>
      <c r="L44" s="154">
        <v>1.1399999999999999</v>
      </c>
      <c r="M44" s="6"/>
      <c r="N44" s="3"/>
      <c r="O44" s="122"/>
      <c r="P44" s="122"/>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row>
    <row r="45" spans="2:49" x14ac:dyDescent="0.2">
      <c r="B45" s="3"/>
      <c r="C45" s="3"/>
      <c r="D45" s="118" t="s">
        <v>41</v>
      </c>
      <c r="E45" s="118"/>
      <c r="F45" s="118" t="s">
        <v>401</v>
      </c>
      <c r="G45" s="118">
        <f t="shared" si="19"/>
        <v>1.17</v>
      </c>
      <c r="H45" s="15"/>
      <c r="I45" s="15"/>
      <c r="J45" s="120" t="s">
        <v>384</v>
      </c>
      <c r="K45" s="120"/>
      <c r="L45" s="154">
        <v>1</v>
      </c>
      <c r="M45" s="6"/>
      <c r="N45" s="3"/>
      <c r="O45" s="122"/>
      <c r="P45" s="122"/>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row>
    <row r="46" spans="2:49" x14ac:dyDescent="0.2">
      <c r="B46" s="3"/>
      <c r="C46" s="3"/>
      <c r="D46" s="118" t="s">
        <v>42</v>
      </c>
      <c r="E46" s="118"/>
      <c r="F46" s="118" t="s">
        <v>383</v>
      </c>
      <c r="G46" s="118">
        <f t="shared" si="19"/>
        <v>1.1399999999999999</v>
      </c>
      <c r="H46" s="15"/>
      <c r="I46" s="15"/>
      <c r="J46" s="120" t="s">
        <v>385</v>
      </c>
      <c r="K46" s="120"/>
      <c r="L46" s="154">
        <v>0.98</v>
      </c>
      <c r="M46" s="6"/>
      <c r="N46" s="3"/>
      <c r="O46" s="122"/>
      <c r="P46" s="122"/>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row>
    <row r="47" spans="2:49" x14ac:dyDescent="0.2">
      <c r="B47" s="3"/>
      <c r="C47" s="3"/>
      <c r="D47" s="118" t="s">
        <v>43</v>
      </c>
      <c r="E47" s="118"/>
      <c r="F47" s="118" t="s">
        <v>448</v>
      </c>
      <c r="G47" s="118">
        <f t="shared" si="19"/>
        <v>0.98</v>
      </c>
      <c r="H47" s="15"/>
      <c r="I47" s="15"/>
      <c r="J47" s="120" t="s">
        <v>97</v>
      </c>
      <c r="K47" s="120"/>
      <c r="L47" s="154">
        <v>1.17</v>
      </c>
      <c r="M47" s="6"/>
      <c r="N47" s="3"/>
      <c r="O47" s="122"/>
      <c r="P47" s="122"/>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row>
    <row r="48" spans="2:49" x14ac:dyDescent="0.2">
      <c r="B48" s="3"/>
      <c r="C48" s="3"/>
      <c r="D48" s="118" t="s">
        <v>44</v>
      </c>
      <c r="E48" s="118"/>
      <c r="F48" s="118" t="s">
        <v>403</v>
      </c>
      <c r="G48" s="118">
        <f t="shared" si="19"/>
        <v>1.1200000000000001</v>
      </c>
      <c r="H48" s="15"/>
      <c r="I48" s="15"/>
      <c r="J48" s="120" t="s">
        <v>98</v>
      </c>
      <c r="K48" s="120"/>
      <c r="L48" s="154">
        <v>1.25</v>
      </c>
      <c r="M48" s="6"/>
      <c r="N48" s="3"/>
      <c r="O48" s="122"/>
      <c r="P48" s="122"/>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row>
    <row r="49" spans="2:49" x14ac:dyDescent="0.2">
      <c r="B49" s="3"/>
      <c r="C49" s="3"/>
      <c r="D49" s="118" t="s">
        <v>45</v>
      </c>
      <c r="E49" s="118"/>
      <c r="F49" s="118" t="s">
        <v>404</v>
      </c>
      <c r="G49" s="118">
        <f t="shared" si="19"/>
        <v>1.1499999999999999</v>
      </c>
      <c r="H49" s="15"/>
      <c r="I49" s="15"/>
      <c r="J49" s="120" t="s">
        <v>386</v>
      </c>
      <c r="K49" s="120"/>
      <c r="L49" s="154">
        <v>0.93</v>
      </c>
      <c r="M49" s="6"/>
      <c r="N49" s="3"/>
      <c r="O49" s="122"/>
      <c r="P49" s="122"/>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row>
    <row r="50" spans="2:49" x14ac:dyDescent="0.2">
      <c r="B50" s="3"/>
      <c r="C50" s="3"/>
      <c r="D50" s="118" t="s">
        <v>46</v>
      </c>
      <c r="E50" s="118"/>
      <c r="F50" s="118" t="s">
        <v>446</v>
      </c>
      <c r="G50" s="118">
        <f t="shared" si="19"/>
        <v>0.98</v>
      </c>
      <c r="H50" s="15"/>
      <c r="I50" s="15"/>
      <c r="J50" s="120" t="s">
        <v>102</v>
      </c>
      <c r="K50" s="120"/>
      <c r="L50" s="154">
        <v>1.01</v>
      </c>
      <c r="M50" s="6"/>
      <c r="N50" s="3"/>
      <c r="O50" s="122"/>
      <c r="P50" s="122"/>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row>
    <row r="51" spans="2:49" x14ac:dyDescent="0.2">
      <c r="B51" s="3"/>
      <c r="C51" s="3"/>
      <c r="D51" s="118" t="s">
        <v>47</v>
      </c>
      <c r="E51" s="118"/>
      <c r="F51" s="118" t="s">
        <v>387</v>
      </c>
      <c r="G51" s="118">
        <f t="shared" si="19"/>
        <v>0.99</v>
      </c>
      <c r="H51" s="15"/>
      <c r="I51" s="15"/>
      <c r="J51" s="120" t="s">
        <v>387</v>
      </c>
      <c r="K51" s="120"/>
      <c r="L51" s="154">
        <v>0.99</v>
      </c>
      <c r="M51" s="6"/>
      <c r="N51" s="3"/>
      <c r="O51" s="122"/>
      <c r="P51" s="122"/>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row>
    <row r="52" spans="2:49" x14ac:dyDescent="0.2">
      <c r="B52" s="3"/>
      <c r="C52" s="3"/>
      <c r="D52" s="118" t="s">
        <v>48</v>
      </c>
      <c r="E52" s="118"/>
      <c r="F52" s="118" t="s">
        <v>394</v>
      </c>
      <c r="G52" s="118">
        <f t="shared" si="19"/>
        <v>1.04</v>
      </c>
      <c r="H52" s="15"/>
      <c r="I52" s="15"/>
      <c r="J52" s="120" t="s">
        <v>388</v>
      </c>
      <c r="K52" s="120"/>
      <c r="L52" s="154">
        <v>0.92</v>
      </c>
      <c r="M52" s="6"/>
      <c r="N52" s="3"/>
      <c r="O52" s="122"/>
      <c r="P52" s="122"/>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row>
    <row r="53" spans="2:49" x14ac:dyDescent="0.2">
      <c r="B53" s="3"/>
      <c r="C53" s="3"/>
      <c r="D53" s="118" t="s">
        <v>49</v>
      </c>
      <c r="E53" s="118"/>
      <c r="F53" s="118" t="s">
        <v>397</v>
      </c>
      <c r="G53" s="118">
        <f t="shared" si="19"/>
        <v>1.1299999999999999</v>
      </c>
      <c r="H53" s="15"/>
      <c r="I53" s="15"/>
      <c r="J53" s="120" t="s">
        <v>389</v>
      </c>
      <c r="K53" s="120"/>
      <c r="L53" s="154">
        <v>1</v>
      </c>
      <c r="M53" s="6"/>
      <c r="N53" s="3"/>
      <c r="O53" s="122"/>
      <c r="P53" s="122"/>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row>
    <row r="54" spans="2:49" x14ac:dyDescent="0.2">
      <c r="B54" s="3"/>
      <c r="C54" s="3"/>
      <c r="D54" s="118" t="s">
        <v>50</v>
      </c>
      <c r="E54" s="118"/>
      <c r="F54" s="118" t="s">
        <v>442</v>
      </c>
      <c r="G54" s="118">
        <f t="shared" si="19"/>
        <v>0.91</v>
      </c>
      <c r="H54" s="15"/>
      <c r="I54" s="15"/>
      <c r="J54" s="120" t="s">
        <v>390</v>
      </c>
      <c r="K54" s="120"/>
      <c r="L54" s="154">
        <v>1.02</v>
      </c>
      <c r="M54" s="6"/>
      <c r="N54" s="3"/>
      <c r="O54" s="122"/>
      <c r="P54" s="122"/>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row>
    <row r="55" spans="2:49" x14ac:dyDescent="0.2">
      <c r="B55" s="3"/>
      <c r="C55" s="3"/>
      <c r="D55" s="118" t="s">
        <v>51</v>
      </c>
      <c r="E55" s="118"/>
      <c r="F55" s="118" t="s">
        <v>445</v>
      </c>
      <c r="G55" s="118">
        <f t="shared" si="19"/>
        <v>0.98</v>
      </c>
      <c r="H55" s="15"/>
      <c r="I55" s="15"/>
      <c r="J55" s="120" t="s">
        <v>391</v>
      </c>
      <c r="K55" s="120"/>
      <c r="L55" s="154">
        <v>0.93</v>
      </c>
      <c r="M55" s="6"/>
      <c r="N55" s="3"/>
      <c r="O55" s="122"/>
      <c r="P55" s="122"/>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row>
    <row r="56" spans="2:49" x14ac:dyDescent="0.2">
      <c r="B56" s="3"/>
      <c r="C56" s="3"/>
      <c r="D56" s="118" t="s">
        <v>52</v>
      </c>
      <c r="E56" s="118"/>
      <c r="F56" s="118" t="s">
        <v>381</v>
      </c>
      <c r="G56" s="118">
        <f t="shared" si="19"/>
        <v>1.04</v>
      </c>
      <c r="H56" s="15"/>
      <c r="I56" s="15"/>
      <c r="J56" s="120" t="s">
        <v>392</v>
      </c>
      <c r="K56" s="120"/>
      <c r="L56" s="154">
        <v>1.17</v>
      </c>
      <c r="M56" s="6"/>
      <c r="N56" s="3"/>
      <c r="O56" s="122"/>
      <c r="P56" s="122"/>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2:49" x14ac:dyDescent="0.2">
      <c r="B57" s="3"/>
      <c r="C57" s="3"/>
      <c r="D57" s="118" t="s">
        <v>53</v>
      </c>
      <c r="E57" s="118"/>
      <c r="F57" s="118" t="s">
        <v>405</v>
      </c>
      <c r="G57" s="118">
        <f t="shared" si="19"/>
        <v>1.18</v>
      </c>
      <c r="H57" s="15"/>
      <c r="I57" s="15"/>
      <c r="J57" s="120" t="s">
        <v>393</v>
      </c>
      <c r="K57" s="120"/>
      <c r="L57" s="154">
        <v>1</v>
      </c>
      <c r="M57" s="6"/>
      <c r="N57" s="3"/>
      <c r="O57" s="122"/>
      <c r="P57" s="122"/>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2:49" x14ac:dyDescent="0.2">
      <c r="B58" s="3"/>
      <c r="C58" s="3"/>
      <c r="D58" s="118" t="s">
        <v>54</v>
      </c>
      <c r="E58" s="118"/>
      <c r="F58" s="118" t="s">
        <v>453</v>
      </c>
      <c r="G58" s="118">
        <f t="shared" si="19"/>
        <v>1.01</v>
      </c>
      <c r="H58" s="15"/>
      <c r="I58" s="15"/>
      <c r="J58" s="120" t="s">
        <v>394</v>
      </c>
      <c r="K58" s="120"/>
      <c r="L58" s="154">
        <v>1.04</v>
      </c>
      <c r="M58" s="6"/>
      <c r="N58" s="3"/>
      <c r="O58" s="122"/>
      <c r="P58" s="122"/>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row>
    <row r="59" spans="2:49" x14ac:dyDescent="0.2">
      <c r="B59" s="3"/>
      <c r="C59" s="3"/>
      <c r="D59" s="118" t="s">
        <v>55</v>
      </c>
      <c r="E59" s="118"/>
      <c r="F59" s="118" t="s">
        <v>434</v>
      </c>
      <c r="G59" s="118">
        <f t="shared" si="19"/>
        <v>0.91</v>
      </c>
      <c r="H59" s="15"/>
      <c r="I59" s="15"/>
      <c r="J59" s="120" t="s">
        <v>395</v>
      </c>
      <c r="K59" s="120"/>
      <c r="L59" s="154">
        <v>1.01</v>
      </c>
      <c r="M59" s="6"/>
      <c r="N59" s="3"/>
      <c r="O59" s="122"/>
      <c r="P59" s="122"/>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2:49" x14ac:dyDescent="0.2">
      <c r="B60" s="3"/>
      <c r="C60" s="3"/>
      <c r="D60" s="118" t="s">
        <v>56</v>
      </c>
      <c r="E60" s="118"/>
      <c r="F60" s="118" t="s">
        <v>402</v>
      </c>
      <c r="G60" s="118">
        <f t="shared" si="19"/>
        <v>0.97</v>
      </c>
      <c r="H60" s="15"/>
      <c r="I60" s="15"/>
      <c r="J60" s="120" t="s">
        <v>396</v>
      </c>
      <c r="K60" s="120"/>
      <c r="L60" s="154">
        <v>0.97</v>
      </c>
      <c r="M60" s="6"/>
      <c r="N60" s="3"/>
      <c r="O60" s="122"/>
      <c r="P60" s="122"/>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2:49" x14ac:dyDescent="0.2">
      <c r="B61" s="3"/>
      <c r="C61" s="3"/>
      <c r="D61" s="118" t="s">
        <v>57</v>
      </c>
      <c r="E61" s="118"/>
      <c r="F61" s="118" t="s">
        <v>402</v>
      </c>
      <c r="G61" s="118">
        <f t="shared" si="19"/>
        <v>0.97</v>
      </c>
      <c r="H61" s="15"/>
      <c r="I61" s="15"/>
      <c r="J61" s="120" t="s">
        <v>397</v>
      </c>
      <c r="K61" s="120"/>
      <c r="L61" s="154">
        <v>1.1299999999999999</v>
      </c>
      <c r="M61" s="6"/>
      <c r="N61" s="3"/>
      <c r="O61" s="122"/>
      <c r="P61" s="122"/>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row>
    <row r="62" spans="2:49" x14ac:dyDescent="0.2">
      <c r="B62" s="3"/>
      <c r="C62" s="3"/>
      <c r="D62" s="118" t="s">
        <v>58</v>
      </c>
      <c r="E62" s="118"/>
      <c r="F62" s="118" t="s">
        <v>388</v>
      </c>
      <c r="G62" s="118">
        <f t="shared" si="19"/>
        <v>0.92</v>
      </c>
      <c r="H62" s="15"/>
      <c r="I62" s="15"/>
      <c r="J62" s="120" t="s">
        <v>398</v>
      </c>
      <c r="K62" s="120"/>
      <c r="L62" s="154">
        <v>1.02</v>
      </c>
      <c r="M62" s="6"/>
      <c r="N62" s="3"/>
      <c r="O62" s="122"/>
      <c r="P62" s="122"/>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row>
    <row r="63" spans="2:49" x14ac:dyDescent="0.2">
      <c r="B63" s="3"/>
      <c r="C63" s="3"/>
      <c r="D63" s="118" t="s">
        <v>59</v>
      </c>
      <c r="E63" s="118"/>
      <c r="F63" s="118" t="s">
        <v>396</v>
      </c>
      <c r="G63" s="118">
        <f t="shared" si="19"/>
        <v>0.97</v>
      </c>
      <c r="H63" s="15"/>
      <c r="I63" s="15"/>
      <c r="J63" s="120" t="s">
        <v>399</v>
      </c>
      <c r="K63" s="120"/>
      <c r="L63" s="154">
        <v>1.07</v>
      </c>
      <c r="M63" s="6"/>
      <c r="N63" s="3"/>
      <c r="O63" s="122"/>
      <c r="P63" s="122"/>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row>
    <row r="64" spans="2:49" x14ac:dyDescent="0.2">
      <c r="B64" s="3"/>
      <c r="C64" s="3"/>
      <c r="D64" s="118" t="s">
        <v>60</v>
      </c>
      <c r="E64" s="118"/>
      <c r="F64" s="118" t="s">
        <v>435</v>
      </c>
      <c r="G64" s="118">
        <f t="shared" si="19"/>
        <v>0.91</v>
      </c>
      <c r="H64" s="15"/>
      <c r="I64" s="15"/>
      <c r="J64" s="120" t="s">
        <v>400</v>
      </c>
      <c r="K64" s="120"/>
      <c r="L64" s="154">
        <v>0.97</v>
      </c>
      <c r="M64" s="6"/>
      <c r="N64" s="3"/>
      <c r="O64" s="122"/>
      <c r="P64" s="122"/>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2:49" x14ac:dyDescent="0.2">
      <c r="B65" s="3"/>
      <c r="C65" s="3"/>
      <c r="D65" s="118" t="s">
        <v>61</v>
      </c>
      <c r="E65" s="118"/>
      <c r="F65" s="118" t="s">
        <v>390</v>
      </c>
      <c r="G65" s="118">
        <f t="shared" si="19"/>
        <v>1.02</v>
      </c>
      <c r="H65" s="15"/>
      <c r="I65" s="15"/>
      <c r="J65" s="120" t="s">
        <v>401</v>
      </c>
      <c r="K65" s="120"/>
      <c r="L65" s="154">
        <v>1.17</v>
      </c>
      <c r="M65" s="6"/>
      <c r="N65" s="3"/>
      <c r="O65" s="122"/>
      <c r="P65" s="122"/>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row>
    <row r="66" spans="2:49" x14ac:dyDescent="0.2">
      <c r="B66" s="3"/>
      <c r="C66" s="3"/>
      <c r="D66" s="118" t="s">
        <v>62</v>
      </c>
      <c r="E66" s="118"/>
      <c r="F66" s="118" t="s">
        <v>382</v>
      </c>
      <c r="G66" s="118">
        <f t="shared" si="19"/>
        <v>1.1599999999999999</v>
      </c>
      <c r="H66" s="15"/>
      <c r="I66" s="15"/>
      <c r="J66" s="120" t="s">
        <v>402</v>
      </c>
      <c r="K66" s="120"/>
      <c r="L66" s="154">
        <v>0.97</v>
      </c>
      <c r="M66" s="6"/>
      <c r="N66" s="3"/>
      <c r="O66" s="122"/>
      <c r="P66" s="122"/>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row>
    <row r="67" spans="2:49" x14ac:dyDescent="0.2">
      <c r="B67" s="3"/>
      <c r="C67" s="3"/>
      <c r="D67" s="118" t="s">
        <v>63</v>
      </c>
      <c r="E67" s="118"/>
      <c r="F67" s="118" t="s">
        <v>455</v>
      </c>
      <c r="G67" s="118">
        <f t="shared" si="19"/>
        <v>0.96</v>
      </c>
      <c r="H67" s="15"/>
      <c r="I67" s="15"/>
      <c r="J67" s="120" t="s">
        <v>403</v>
      </c>
      <c r="K67" s="120"/>
      <c r="L67" s="154">
        <v>1.1200000000000001</v>
      </c>
      <c r="M67" s="6"/>
      <c r="N67" s="3"/>
      <c r="O67" s="122"/>
      <c r="P67" s="122"/>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row>
    <row r="68" spans="2:49" x14ac:dyDescent="0.2">
      <c r="B68" s="3"/>
      <c r="C68" s="3"/>
      <c r="D68" s="118" t="s">
        <v>64</v>
      </c>
      <c r="E68" s="118"/>
      <c r="F68" s="118" t="s">
        <v>394</v>
      </c>
      <c r="G68" s="118">
        <f t="shared" si="19"/>
        <v>1.04</v>
      </c>
      <c r="H68" s="15"/>
      <c r="I68" s="15"/>
      <c r="J68" s="120" t="s">
        <v>404</v>
      </c>
      <c r="K68" s="120"/>
      <c r="L68" s="154">
        <v>1.1499999999999999</v>
      </c>
      <c r="M68" s="6"/>
      <c r="N68" s="3"/>
      <c r="O68" s="122"/>
      <c r="P68" s="122"/>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row>
    <row r="69" spans="2:49" x14ac:dyDescent="0.2">
      <c r="B69" s="3"/>
      <c r="C69" s="3"/>
      <c r="D69" s="118" t="s">
        <v>65</v>
      </c>
      <c r="E69" s="118"/>
      <c r="F69" s="118" t="s">
        <v>438</v>
      </c>
      <c r="G69" s="118">
        <f t="shared" si="19"/>
        <v>0.96</v>
      </c>
      <c r="H69" s="15"/>
      <c r="I69" s="15"/>
      <c r="J69" s="120" t="s">
        <v>405</v>
      </c>
      <c r="K69" s="120"/>
      <c r="L69" s="154">
        <v>1.18</v>
      </c>
      <c r="M69" s="6"/>
      <c r="N69" s="3"/>
      <c r="O69" s="122"/>
      <c r="P69" s="122"/>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row>
    <row r="70" spans="2:49" x14ac:dyDescent="0.2">
      <c r="B70" s="3"/>
      <c r="C70" s="3"/>
      <c r="D70" s="118" t="s">
        <v>66</v>
      </c>
      <c r="E70" s="118"/>
      <c r="F70" s="118" t="s">
        <v>406</v>
      </c>
      <c r="G70" s="118">
        <f t="shared" si="19"/>
        <v>1.17</v>
      </c>
      <c r="H70" s="15"/>
      <c r="I70" s="15"/>
      <c r="J70" s="120" t="s">
        <v>406</v>
      </c>
      <c r="K70" s="120"/>
      <c r="L70" s="154">
        <v>1.17</v>
      </c>
      <c r="M70" s="6"/>
      <c r="N70" s="3"/>
      <c r="O70" s="122"/>
      <c r="P70" s="122"/>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row>
    <row r="71" spans="2:49" x14ac:dyDescent="0.2">
      <c r="B71" s="3"/>
      <c r="C71" s="3"/>
      <c r="D71" s="118" t="s">
        <v>67</v>
      </c>
      <c r="E71" s="118"/>
      <c r="F71" s="118" t="s">
        <v>394</v>
      </c>
      <c r="G71" s="118">
        <f t="shared" si="19"/>
        <v>1.04</v>
      </c>
      <c r="H71" s="15"/>
      <c r="I71" s="15"/>
      <c r="J71" s="120" t="s">
        <v>407</v>
      </c>
      <c r="K71" s="120"/>
      <c r="L71" s="154">
        <v>1.1499999999999999</v>
      </c>
      <c r="M71" s="6"/>
      <c r="N71" s="3"/>
      <c r="O71" s="122"/>
      <c r="P71" s="122"/>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row>
    <row r="72" spans="2:49" x14ac:dyDescent="0.2">
      <c r="B72" s="3"/>
      <c r="C72" s="3"/>
      <c r="D72" s="118" t="s">
        <v>68</v>
      </c>
      <c r="E72" s="118"/>
      <c r="F72" s="118" t="s">
        <v>392</v>
      </c>
      <c r="G72" s="118">
        <f t="shared" si="19"/>
        <v>1.17</v>
      </c>
      <c r="H72" s="15"/>
      <c r="I72" s="15"/>
      <c r="J72" s="120" t="s">
        <v>408</v>
      </c>
      <c r="K72" s="120"/>
      <c r="L72" s="154">
        <v>1.26</v>
      </c>
      <c r="M72" s="6"/>
      <c r="N72" s="3"/>
      <c r="O72" s="122"/>
      <c r="P72" s="122"/>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row>
    <row r="73" spans="2:49" x14ac:dyDescent="0.2">
      <c r="B73" s="3"/>
      <c r="C73" s="3"/>
      <c r="D73" s="118" t="s">
        <v>69</v>
      </c>
      <c r="E73" s="118"/>
      <c r="F73" s="118" t="s">
        <v>380</v>
      </c>
      <c r="G73" s="118">
        <f t="shared" si="19"/>
        <v>1</v>
      </c>
      <c r="H73" s="15"/>
      <c r="I73" s="15"/>
      <c r="J73" s="120" t="s">
        <v>409</v>
      </c>
      <c r="K73" s="120"/>
      <c r="L73" s="154">
        <v>1.18</v>
      </c>
      <c r="M73" s="6"/>
      <c r="N73" s="3"/>
      <c r="O73" s="122"/>
      <c r="P73" s="122"/>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row>
    <row r="74" spans="2:49" x14ac:dyDescent="0.2">
      <c r="B74" s="3"/>
      <c r="C74" s="3"/>
      <c r="D74" s="118" t="s">
        <v>70</v>
      </c>
      <c r="E74" s="118"/>
      <c r="F74" s="118" t="s">
        <v>438</v>
      </c>
      <c r="G74" s="118">
        <f t="shared" si="19"/>
        <v>0.96</v>
      </c>
      <c r="H74" s="15"/>
      <c r="I74" s="15"/>
      <c r="J74" s="120" t="s">
        <v>410</v>
      </c>
      <c r="K74" s="120"/>
      <c r="L74" s="154">
        <v>1.22</v>
      </c>
      <c r="M74" s="6"/>
      <c r="N74" s="3"/>
      <c r="O74" s="122"/>
      <c r="P74" s="122"/>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row>
    <row r="75" spans="2:49" x14ac:dyDescent="0.2">
      <c r="B75" s="3"/>
      <c r="C75" s="3"/>
      <c r="D75" s="118" t="s">
        <v>71</v>
      </c>
      <c r="E75" s="118"/>
      <c r="F75" s="118" t="s">
        <v>438</v>
      </c>
      <c r="G75" s="118">
        <f t="shared" si="19"/>
        <v>0.96</v>
      </c>
      <c r="H75" s="15"/>
      <c r="I75" s="15"/>
      <c r="J75" s="120" t="s">
        <v>411</v>
      </c>
      <c r="K75" s="120"/>
      <c r="L75" s="154">
        <v>1.1299999999999999</v>
      </c>
      <c r="M75" s="6"/>
      <c r="N75" s="3"/>
      <c r="O75" s="122"/>
      <c r="P75" s="122"/>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row>
    <row r="76" spans="2:49" x14ac:dyDescent="0.2">
      <c r="B76" s="3"/>
      <c r="C76" s="3"/>
      <c r="D76" s="118" t="s">
        <v>72</v>
      </c>
      <c r="E76" s="118"/>
      <c r="F76" s="118" t="s">
        <v>407</v>
      </c>
      <c r="G76" s="118">
        <f t="shared" si="19"/>
        <v>1.1499999999999999</v>
      </c>
      <c r="H76" s="15"/>
      <c r="I76" s="15"/>
      <c r="J76" s="120" t="s">
        <v>412</v>
      </c>
      <c r="K76" s="120"/>
      <c r="L76" s="155">
        <v>1.19</v>
      </c>
      <c r="M76" s="6"/>
      <c r="N76" s="3"/>
      <c r="O76" s="122"/>
      <c r="P76" s="122"/>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row>
    <row r="77" spans="2:49" x14ac:dyDescent="0.2">
      <c r="B77" s="3"/>
      <c r="C77" s="3"/>
      <c r="D77" s="118" t="s">
        <v>73</v>
      </c>
      <c r="E77" s="118"/>
      <c r="F77" s="118" t="s">
        <v>453</v>
      </c>
      <c r="G77" s="118">
        <f t="shared" si="19"/>
        <v>1.01</v>
      </c>
      <c r="H77" s="15"/>
      <c r="I77" s="15"/>
      <c r="J77" s="120" t="s">
        <v>413</v>
      </c>
      <c r="K77" s="120"/>
      <c r="L77" s="154">
        <v>1.21</v>
      </c>
      <c r="M77" s="6"/>
      <c r="N77" s="3"/>
      <c r="O77" s="122"/>
      <c r="P77" s="122"/>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row>
    <row r="78" spans="2:49" x14ac:dyDescent="0.2">
      <c r="B78" s="3"/>
      <c r="C78" s="3"/>
      <c r="D78" s="118" t="s">
        <v>74</v>
      </c>
      <c r="E78" s="118"/>
      <c r="F78" s="118" t="s">
        <v>399</v>
      </c>
      <c r="G78" s="118">
        <f t="shared" si="19"/>
        <v>1.07</v>
      </c>
      <c r="H78" s="15"/>
      <c r="I78" s="15"/>
      <c r="J78" s="120" t="s">
        <v>414</v>
      </c>
      <c r="K78" s="120"/>
      <c r="L78" s="154">
        <v>1.24</v>
      </c>
      <c r="M78" s="6"/>
      <c r="N78" s="3"/>
      <c r="O78" s="122"/>
      <c r="P78" s="122"/>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row>
    <row r="79" spans="2:49" x14ac:dyDescent="0.2">
      <c r="B79" s="3"/>
      <c r="C79" s="3"/>
      <c r="D79" s="118" t="s">
        <v>75</v>
      </c>
      <c r="E79" s="118"/>
      <c r="F79" s="118" t="s">
        <v>442</v>
      </c>
      <c r="G79" s="118">
        <f t="shared" si="19"/>
        <v>0.91</v>
      </c>
      <c r="H79" s="15"/>
      <c r="I79" s="15"/>
      <c r="J79" s="120" t="s">
        <v>415</v>
      </c>
      <c r="K79" s="120"/>
      <c r="L79" s="154">
        <v>1.24</v>
      </c>
      <c r="M79" s="6"/>
      <c r="N79" s="3"/>
      <c r="O79" s="122"/>
      <c r="P79" s="122"/>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row>
    <row r="80" spans="2:49" x14ac:dyDescent="0.2">
      <c r="B80" s="3"/>
      <c r="C80" s="3"/>
      <c r="D80" s="118" t="s">
        <v>76</v>
      </c>
      <c r="E80" s="118"/>
      <c r="F80" s="118" t="s">
        <v>402</v>
      </c>
      <c r="G80" s="118">
        <f t="shared" si="19"/>
        <v>0.97</v>
      </c>
      <c r="H80" s="15"/>
      <c r="I80" s="15"/>
      <c r="J80" s="120" t="s">
        <v>416</v>
      </c>
      <c r="K80" s="120"/>
      <c r="L80" s="154">
        <v>1.1200000000000001</v>
      </c>
      <c r="M80" s="6"/>
      <c r="N80" s="3"/>
      <c r="O80" s="122"/>
      <c r="P80" s="122"/>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row>
    <row r="81" spans="2:49" x14ac:dyDescent="0.2">
      <c r="B81" s="3"/>
      <c r="C81" s="3"/>
      <c r="D81" s="118" t="s">
        <v>77</v>
      </c>
      <c r="E81" s="118"/>
      <c r="F81" s="118" t="s">
        <v>396</v>
      </c>
      <c r="G81" s="118">
        <f t="shared" si="19"/>
        <v>0.97</v>
      </c>
      <c r="H81" s="15"/>
      <c r="I81" s="15"/>
      <c r="J81" s="120" t="s">
        <v>417</v>
      </c>
      <c r="K81" s="120"/>
      <c r="L81" s="154">
        <v>1.03</v>
      </c>
      <c r="M81" s="6"/>
      <c r="N81" s="3"/>
      <c r="O81" s="122"/>
      <c r="P81" s="122"/>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row>
    <row r="82" spans="2:49" x14ac:dyDescent="0.2">
      <c r="B82" s="3"/>
      <c r="C82" s="3"/>
      <c r="D82" s="118" t="s">
        <v>78</v>
      </c>
      <c r="E82" s="118"/>
      <c r="F82" s="118" t="s">
        <v>455</v>
      </c>
      <c r="G82" s="118">
        <f t="shared" si="19"/>
        <v>0.96</v>
      </c>
      <c r="H82" s="15"/>
      <c r="I82" s="15"/>
      <c r="J82" s="120" t="s">
        <v>418</v>
      </c>
      <c r="K82" s="120"/>
      <c r="L82" s="154">
        <v>1.1100000000000001</v>
      </c>
      <c r="M82" s="6"/>
      <c r="N82" s="3"/>
      <c r="O82" s="122"/>
      <c r="P82" s="122"/>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row>
    <row r="83" spans="2:49" x14ac:dyDescent="0.2">
      <c r="B83" s="3"/>
      <c r="C83" s="3"/>
      <c r="D83" s="118" t="s">
        <v>79</v>
      </c>
      <c r="E83" s="118"/>
      <c r="F83" s="118" t="s">
        <v>384</v>
      </c>
      <c r="G83" s="118">
        <f t="shared" si="19"/>
        <v>1</v>
      </c>
      <c r="H83" s="15"/>
      <c r="I83" s="15"/>
      <c r="J83" s="120" t="s">
        <v>419</v>
      </c>
      <c r="K83" s="120"/>
      <c r="L83" s="154">
        <v>1.1100000000000001</v>
      </c>
      <c r="M83" s="6"/>
      <c r="N83" s="3"/>
      <c r="O83" s="122"/>
      <c r="P83" s="122"/>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row>
    <row r="84" spans="2:49" x14ac:dyDescent="0.2">
      <c r="B84" s="3"/>
      <c r="C84" s="3"/>
      <c r="D84" s="118" t="s">
        <v>80</v>
      </c>
      <c r="E84" s="118"/>
      <c r="F84" s="118" t="s">
        <v>408</v>
      </c>
      <c r="G84" s="118">
        <f t="shared" si="19"/>
        <v>1.26</v>
      </c>
      <c r="H84" s="15"/>
      <c r="I84" s="15"/>
      <c r="J84" s="120" t="s">
        <v>420</v>
      </c>
      <c r="K84" s="120"/>
      <c r="L84" s="154">
        <v>1.23</v>
      </c>
      <c r="M84" s="6"/>
      <c r="N84" s="3"/>
      <c r="O84" s="122"/>
      <c r="P84" s="122"/>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row>
    <row r="85" spans="2:49" x14ac:dyDescent="0.2">
      <c r="B85" s="3"/>
      <c r="C85" s="3"/>
      <c r="D85" s="118" t="s">
        <v>81</v>
      </c>
      <c r="E85" s="118"/>
      <c r="F85" s="118" t="s">
        <v>447</v>
      </c>
      <c r="G85" s="118">
        <f t="shared" si="19"/>
        <v>0.99</v>
      </c>
      <c r="H85" s="15"/>
      <c r="I85" s="15"/>
      <c r="J85" s="120" t="s">
        <v>421</v>
      </c>
      <c r="K85" s="120"/>
      <c r="L85" s="154">
        <v>1.29</v>
      </c>
      <c r="M85" s="6"/>
      <c r="N85" s="3"/>
      <c r="O85" s="122"/>
      <c r="P85" s="122"/>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row>
    <row r="86" spans="2:49" x14ac:dyDescent="0.2">
      <c r="B86" s="3"/>
      <c r="C86" s="3"/>
      <c r="D86" s="118" t="s">
        <v>82</v>
      </c>
      <c r="E86" s="118"/>
      <c r="F86" s="118" t="s">
        <v>401</v>
      </c>
      <c r="G86" s="118">
        <f t="shared" si="19"/>
        <v>1.17</v>
      </c>
      <c r="H86" s="15"/>
      <c r="I86" s="15"/>
      <c r="J86" s="120" t="s">
        <v>422</v>
      </c>
      <c r="K86" s="120"/>
      <c r="L86" s="154">
        <v>1.2</v>
      </c>
      <c r="M86" s="6"/>
      <c r="N86" s="3"/>
      <c r="O86" s="122"/>
      <c r="P86" s="122"/>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row>
    <row r="87" spans="2:49" x14ac:dyDescent="0.2">
      <c r="B87" s="3"/>
      <c r="C87" s="3"/>
      <c r="D87" s="118" t="s">
        <v>83</v>
      </c>
      <c r="E87" s="118"/>
      <c r="F87" s="118" t="s">
        <v>387</v>
      </c>
      <c r="G87" s="118">
        <f t="shared" si="19"/>
        <v>0.99</v>
      </c>
      <c r="H87" s="15"/>
      <c r="I87" s="15"/>
      <c r="J87" s="120" t="s">
        <v>423</v>
      </c>
      <c r="K87" s="120"/>
      <c r="L87" s="154">
        <v>1.23</v>
      </c>
      <c r="M87" s="6"/>
      <c r="N87" s="3"/>
      <c r="O87" s="122"/>
      <c r="P87" s="122"/>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row>
    <row r="88" spans="2:49" x14ac:dyDescent="0.2">
      <c r="B88" s="3"/>
      <c r="C88" s="3"/>
      <c r="D88" s="118" t="s">
        <v>84</v>
      </c>
      <c r="E88" s="118"/>
      <c r="F88" s="118" t="s">
        <v>394</v>
      </c>
      <c r="G88" s="118">
        <f t="shared" si="19"/>
        <v>1.04</v>
      </c>
      <c r="H88" s="15"/>
      <c r="I88" s="15"/>
      <c r="J88" s="120" t="s">
        <v>424</v>
      </c>
      <c r="K88" s="120"/>
      <c r="L88" s="154">
        <v>1.1499999999999999</v>
      </c>
      <c r="M88" s="6"/>
      <c r="N88" s="3"/>
      <c r="O88" s="122"/>
      <c r="P88" s="122"/>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row>
    <row r="89" spans="2:49" x14ac:dyDescent="0.2">
      <c r="B89" s="3"/>
      <c r="C89" s="3"/>
      <c r="D89" s="118" t="s">
        <v>85</v>
      </c>
      <c r="E89" s="118"/>
      <c r="F89" s="118" t="s">
        <v>381</v>
      </c>
      <c r="G89" s="118">
        <f t="shared" si="19"/>
        <v>1.04</v>
      </c>
      <c r="H89" s="15"/>
      <c r="I89" s="15"/>
      <c r="J89" s="120" t="s">
        <v>425</v>
      </c>
      <c r="K89" s="120"/>
      <c r="L89" s="154">
        <v>1.19</v>
      </c>
      <c r="M89" s="6"/>
      <c r="N89" s="3"/>
      <c r="O89" s="122"/>
      <c r="P89" s="122"/>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row>
    <row r="90" spans="2:49" x14ac:dyDescent="0.2">
      <c r="B90" s="3"/>
      <c r="C90" s="3"/>
      <c r="D90" s="118" t="s">
        <v>86</v>
      </c>
      <c r="E90" s="118"/>
      <c r="F90" s="118" t="s">
        <v>434</v>
      </c>
      <c r="G90" s="118">
        <f t="shared" si="19"/>
        <v>0.91</v>
      </c>
      <c r="H90" s="15"/>
      <c r="I90" s="15"/>
      <c r="J90" s="120" t="s">
        <v>426</v>
      </c>
      <c r="K90" s="120"/>
      <c r="L90" s="154">
        <v>1.1299999999999999</v>
      </c>
      <c r="M90" s="6"/>
      <c r="N90" s="3"/>
      <c r="O90" s="122"/>
      <c r="P90" s="122"/>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row>
    <row r="91" spans="2:49" x14ac:dyDescent="0.2">
      <c r="B91" s="3"/>
      <c r="C91" s="3"/>
      <c r="D91" s="118" t="s">
        <v>87</v>
      </c>
      <c r="E91" s="118"/>
      <c r="F91" s="118" t="s">
        <v>394</v>
      </c>
      <c r="G91" s="118">
        <f t="shared" si="19"/>
        <v>1.04</v>
      </c>
      <c r="H91" s="15"/>
      <c r="I91" s="15"/>
      <c r="J91" s="120" t="s">
        <v>427</v>
      </c>
      <c r="K91" s="120"/>
      <c r="L91" s="154">
        <v>1.1000000000000001</v>
      </c>
      <c r="M91" s="6"/>
      <c r="N91" s="3"/>
      <c r="O91" s="122"/>
      <c r="P91" s="122"/>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row>
    <row r="92" spans="2:49" x14ac:dyDescent="0.2">
      <c r="B92" s="3"/>
      <c r="C92" s="3"/>
      <c r="D92" s="118" t="s">
        <v>88</v>
      </c>
      <c r="E92" s="118"/>
      <c r="F92" s="118" t="s">
        <v>395</v>
      </c>
      <c r="G92" s="118">
        <f t="shared" si="19"/>
        <v>1.01</v>
      </c>
      <c r="H92" s="15"/>
      <c r="I92" s="15"/>
      <c r="J92" s="120" t="s">
        <v>428</v>
      </c>
      <c r="K92" s="120"/>
      <c r="L92" s="154">
        <v>1.17</v>
      </c>
      <c r="M92" s="6"/>
      <c r="N92" s="3"/>
      <c r="O92" s="122"/>
      <c r="P92" s="122"/>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row>
    <row r="93" spans="2:49" x14ac:dyDescent="0.2">
      <c r="B93" s="3"/>
      <c r="C93" s="3"/>
      <c r="D93" s="118" t="s">
        <v>89</v>
      </c>
      <c r="E93" s="118"/>
      <c r="F93" s="118" t="s">
        <v>443</v>
      </c>
      <c r="G93" s="118">
        <f t="shared" si="19"/>
        <v>1.1100000000000001</v>
      </c>
      <c r="H93" s="15"/>
      <c r="I93" s="15"/>
      <c r="J93" s="120" t="s">
        <v>429</v>
      </c>
      <c r="K93" s="120"/>
      <c r="L93" s="154">
        <v>1.23</v>
      </c>
      <c r="M93" s="6"/>
      <c r="N93" s="3"/>
      <c r="O93" s="122"/>
      <c r="P93" s="122"/>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row>
    <row r="94" spans="2:49" x14ac:dyDescent="0.2">
      <c r="B94" s="3"/>
      <c r="C94" s="3"/>
      <c r="D94" s="118" t="s">
        <v>90</v>
      </c>
      <c r="E94" s="118"/>
      <c r="F94" s="118" t="s">
        <v>385</v>
      </c>
      <c r="G94" s="118">
        <f t="shared" si="19"/>
        <v>0.98</v>
      </c>
      <c r="H94" s="15"/>
      <c r="I94" s="15"/>
      <c r="J94" s="120" t="s">
        <v>430</v>
      </c>
      <c r="K94" s="120"/>
      <c r="L94" s="154">
        <v>1.1399999999999999</v>
      </c>
      <c r="M94" s="6"/>
      <c r="N94" s="3"/>
      <c r="O94" s="122"/>
      <c r="P94" s="122"/>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row>
    <row r="95" spans="2:49" x14ac:dyDescent="0.2">
      <c r="B95" s="3"/>
      <c r="C95" s="3"/>
      <c r="D95" s="118" t="s">
        <v>91</v>
      </c>
      <c r="E95" s="118"/>
      <c r="F95" s="118" t="s">
        <v>385</v>
      </c>
      <c r="G95" s="118">
        <f t="shared" si="19"/>
        <v>0.98</v>
      </c>
      <c r="H95" s="15"/>
      <c r="I95" s="15"/>
      <c r="J95" s="120" t="s">
        <v>431</v>
      </c>
      <c r="K95" s="120"/>
      <c r="L95" s="154">
        <v>1.21</v>
      </c>
      <c r="M95" s="6"/>
      <c r="N95" s="3"/>
      <c r="O95" s="122"/>
      <c r="P95" s="122"/>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row>
    <row r="96" spans="2:49" x14ac:dyDescent="0.2">
      <c r="B96" s="3"/>
      <c r="C96" s="3"/>
      <c r="D96" s="118" t="s">
        <v>92</v>
      </c>
      <c r="E96" s="118"/>
      <c r="F96" s="118" t="s">
        <v>388</v>
      </c>
      <c r="G96" s="118">
        <f t="shared" si="19"/>
        <v>0.92</v>
      </c>
      <c r="H96" s="15"/>
      <c r="I96" s="15"/>
      <c r="J96" s="120" t="s">
        <v>432</v>
      </c>
      <c r="K96" s="120"/>
      <c r="L96" s="154">
        <v>1.1299999999999999</v>
      </c>
      <c r="M96" s="6"/>
      <c r="N96" s="3"/>
      <c r="O96" s="122"/>
      <c r="P96" s="122"/>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row>
    <row r="97" spans="2:49" x14ac:dyDescent="0.2">
      <c r="B97" s="3"/>
      <c r="C97" s="3"/>
      <c r="D97" s="118" t="s">
        <v>93</v>
      </c>
      <c r="E97" s="118"/>
      <c r="F97" s="118" t="s">
        <v>454</v>
      </c>
      <c r="G97" s="118">
        <f t="shared" si="19"/>
        <v>1.1599999999999999</v>
      </c>
      <c r="H97" s="15"/>
      <c r="I97" s="15"/>
      <c r="J97" s="120" t="s">
        <v>433</v>
      </c>
      <c r="K97" s="120"/>
      <c r="L97" s="154">
        <v>1.25</v>
      </c>
      <c r="M97" s="6"/>
      <c r="N97" s="3"/>
      <c r="O97" s="122"/>
      <c r="P97" s="122"/>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row>
    <row r="98" spans="2:49" x14ac:dyDescent="0.2">
      <c r="B98" s="3"/>
      <c r="C98" s="3"/>
      <c r="D98" s="118" t="s">
        <v>94</v>
      </c>
      <c r="E98" s="118"/>
      <c r="F98" s="118" t="s">
        <v>383</v>
      </c>
      <c r="G98" s="118">
        <f t="shared" si="19"/>
        <v>1.1399999999999999</v>
      </c>
      <c r="H98" s="15"/>
      <c r="I98" s="15"/>
      <c r="J98" s="120" t="s">
        <v>434</v>
      </c>
      <c r="K98" s="120"/>
      <c r="L98" s="154">
        <v>0.91</v>
      </c>
      <c r="M98" s="6"/>
      <c r="N98" s="3"/>
      <c r="O98" s="122"/>
      <c r="P98" s="122"/>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row>
    <row r="99" spans="2:49" x14ac:dyDescent="0.2">
      <c r="B99" s="3"/>
      <c r="C99" s="3"/>
      <c r="D99" s="118" t="s">
        <v>95</v>
      </c>
      <c r="E99" s="118"/>
      <c r="F99" s="118" t="s">
        <v>402</v>
      </c>
      <c r="G99" s="118">
        <f t="shared" si="19"/>
        <v>0.97</v>
      </c>
      <c r="H99" s="15"/>
      <c r="I99" s="15"/>
      <c r="J99" s="120" t="s">
        <v>435</v>
      </c>
      <c r="K99" s="120"/>
      <c r="L99" s="154">
        <v>0.91</v>
      </c>
      <c r="M99" s="6"/>
      <c r="N99" s="3"/>
      <c r="O99" s="122"/>
      <c r="P99" s="122"/>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row>
    <row r="100" spans="2:49" x14ac:dyDescent="0.2">
      <c r="B100" s="3"/>
      <c r="C100" s="3"/>
      <c r="D100" s="118" t="s">
        <v>96</v>
      </c>
      <c r="E100" s="118"/>
      <c r="F100" s="118" t="s">
        <v>390</v>
      </c>
      <c r="G100" s="118">
        <f t="shared" si="19"/>
        <v>1.02</v>
      </c>
      <c r="H100" s="15"/>
      <c r="I100" s="15"/>
      <c r="J100" s="120" t="s">
        <v>436</v>
      </c>
      <c r="K100" s="120"/>
      <c r="L100" s="154">
        <v>0.97</v>
      </c>
      <c r="M100" s="6"/>
      <c r="N100" s="3"/>
      <c r="O100" s="122"/>
      <c r="P100" s="122"/>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row>
    <row r="101" spans="2:49" x14ac:dyDescent="0.2">
      <c r="B101" s="3"/>
      <c r="C101" s="3"/>
      <c r="D101" s="118" t="s">
        <v>97</v>
      </c>
      <c r="E101" s="118"/>
      <c r="F101" s="118" t="s">
        <v>97</v>
      </c>
      <c r="G101" s="118">
        <f t="shared" si="19"/>
        <v>1.17</v>
      </c>
      <c r="H101" s="15"/>
      <c r="I101" s="15"/>
      <c r="J101" s="120" t="s">
        <v>437</v>
      </c>
      <c r="K101" s="120"/>
      <c r="L101" s="154">
        <v>1</v>
      </c>
      <c r="M101" s="6"/>
      <c r="N101" s="3"/>
      <c r="O101" s="122"/>
      <c r="P101" s="122"/>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row>
    <row r="102" spans="2:49" x14ac:dyDescent="0.2">
      <c r="B102" s="3"/>
      <c r="C102" s="3"/>
      <c r="D102" s="118" t="s">
        <v>98</v>
      </c>
      <c r="E102" s="118"/>
      <c r="F102" s="118" t="s">
        <v>98</v>
      </c>
      <c r="G102" s="118">
        <f t="shared" si="19"/>
        <v>1.25</v>
      </c>
      <c r="H102" s="15"/>
      <c r="I102" s="15"/>
      <c r="J102" s="120" t="s">
        <v>438</v>
      </c>
      <c r="K102" s="120"/>
      <c r="L102" s="154">
        <v>0.96</v>
      </c>
      <c r="M102" s="6"/>
      <c r="N102" s="3"/>
      <c r="O102" s="122"/>
      <c r="P102" s="122"/>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row>
    <row r="103" spans="2:49" x14ac:dyDescent="0.2">
      <c r="B103" s="3"/>
      <c r="C103" s="3"/>
      <c r="D103" s="118" t="s">
        <v>99</v>
      </c>
      <c r="E103" s="118"/>
      <c r="F103" s="118" t="s">
        <v>394</v>
      </c>
      <c r="G103" s="118">
        <f t="shared" si="19"/>
        <v>1.04</v>
      </c>
      <c r="H103" s="15"/>
      <c r="I103" s="15"/>
      <c r="J103" s="120" t="s">
        <v>439</v>
      </c>
      <c r="K103" s="120"/>
      <c r="L103" s="154">
        <v>1.03</v>
      </c>
      <c r="M103" s="6"/>
      <c r="N103" s="3"/>
      <c r="O103" s="122"/>
      <c r="P103" s="122"/>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row>
    <row r="104" spans="2:49" x14ac:dyDescent="0.2">
      <c r="B104" s="3"/>
      <c r="C104" s="3"/>
      <c r="D104" s="118" t="s">
        <v>100</v>
      </c>
      <c r="E104" s="118"/>
      <c r="F104" s="118" t="s">
        <v>387</v>
      </c>
      <c r="G104" s="118">
        <f t="shared" si="19"/>
        <v>0.99</v>
      </c>
      <c r="H104" s="15"/>
      <c r="I104" s="15"/>
      <c r="J104" s="120" t="s">
        <v>440</v>
      </c>
      <c r="K104" s="120"/>
      <c r="L104" s="154">
        <v>0.96</v>
      </c>
      <c r="M104" s="6"/>
      <c r="N104" s="3"/>
      <c r="O104" s="122"/>
      <c r="P104" s="122"/>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row>
    <row r="105" spans="2:49" x14ac:dyDescent="0.2">
      <c r="B105" s="3"/>
      <c r="C105" s="3"/>
      <c r="D105" s="118" t="s">
        <v>101</v>
      </c>
      <c r="E105" s="118"/>
      <c r="F105" s="118" t="s">
        <v>440</v>
      </c>
      <c r="G105" s="118">
        <f t="shared" ref="G105:G168" si="20">LOOKUP(F105,$J$41:$J$121,$L$41:$L$121)</f>
        <v>0.96</v>
      </c>
      <c r="H105" s="15"/>
      <c r="I105" s="15"/>
      <c r="J105" s="120" t="s">
        <v>441</v>
      </c>
      <c r="K105" s="120"/>
      <c r="L105" s="154">
        <v>0.95</v>
      </c>
      <c r="M105" s="6"/>
      <c r="N105" s="3"/>
      <c r="O105" s="122"/>
      <c r="P105" s="122"/>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row>
    <row r="106" spans="2:49" x14ac:dyDescent="0.2">
      <c r="B106" s="3"/>
      <c r="C106" s="3"/>
      <c r="D106" s="118" t="s">
        <v>102</v>
      </c>
      <c r="E106" s="118"/>
      <c r="F106" s="118" t="s">
        <v>102</v>
      </c>
      <c r="G106" s="118">
        <f t="shared" si="20"/>
        <v>1.01</v>
      </c>
      <c r="H106" s="15"/>
      <c r="I106" s="15"/>
      <c r="J106" s="120" t="s">
        <v>442</v>
      </c>
      <c r="K106" s="120"/>
      <c r="L106" s="154">
        <v>0.91</v>
      </c>
      <c r="M106" s="6"/>
      <c r="N106" s="3"/>
      <c r="O106" s="122"/>
      <c r="P106" s="122"/>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row>
    <row r="107" spans="2:49" x14ac:dyDescent="0.2">
      <c r="B107" s="3"/>
      <c r="C107" s="3"/>
      <c r="D107" s="118" t="s">
        <v>103</v>
      </c>
      <c r="E107" s="118"/>
      <c r="F107" s="118" t="s">
        <v>395</v>
      </c>
      <c r="G107" s="118">
        <f t="shared" si="20"/>
        <v>1.01</v>
      </c>
      <c r="H107" s="15"/>
      <c r="I107" s="15"/>
      <c r="J107" s="120" t="s">
        <v>443</v>
      </c>
      <c r="K107" s="120"/>
      <c r="L107" s="154">
        <v>1.1100000000000001</v>
      </c>
      <c r="M107" s="6"/>
      <c r="N107" s="3"/>
      <c r="O107" s="122"/>
      <c r="P107" s="122"/>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row>
    <row r="108" spans="2:49" x14ac:dyDescent="0.2">
      <c r="B108" s="3"/>
      <c r="C108" s="3"/>
      <c r="D108" s="118" t="s">
        <v>104</v>
      </c>
      <c r="E108" s="118"/>
      <c r="F108" s="118" t="s">
        <v>391</v>
      </c>
      <c r="G108" s="118">
        <f t="shared" si="20"/>
        <v>0.93</v>
      </c>
      <c r="H108" s="15"/>
      <c r="I108" s="15"/>
      <c r="J108" s="120" t="s">
        <v>444</v>
      </c>
      <c r="K108" s="120"/>
      <c r="L108" s="154">
        <v>0.9</v>
      </c>
      <c r="M108" s="6"/>
      <c r="N108" s="3"/>
      <c r="O108" s="122"/>
      <c r="P108" s="122"/>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row>
    <row r="109" spans="2:49" x14ac:dyDescent="0.2">
      <c r="B109" s="3"/>
      <c r="C109" s="3"/>
      <c r="D109" s="118" t="s">
        <v>105</v>
      </c>
      <c r="E109" s="118"/>
      <c r="F109" s="118" t="s">
        <v>453</v>
      </c>
      <c r="G109" s="118">
        <f t="shared" si="20"/>
        <v>1.01</v>
      </c>
      <c r="H109" s="15"/>
      <c r="I109" s="15"/>
      <c r="J109" s="120" t="s">
        <v>276</v>
      </c>
      <c r="K109" s="120"/>
      <c r="L109" s="154">
        <v>1.01</v>
      </c>
      <c r="M109" s="6"/>
      <c r="N109" s="3"/>
      <c r="O109" s="122"/>
      <c r="P109" s="122"/>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row>
    <row r="110" spans="2:49" x14ac:dyDescent="0.2">
      <c r="B110" s="3"/>
      <c r="C110" s="3"/>
      <c r="D110" s="118" t="s">
        <v>106</v>
      </c>
      <c r="E110" s="118"/>
      <c r="F110" s="118" t="s">
        <v>439</v>
      </c>
      <c r="G110" s="118">
        <f t="shared" si="20"/>
        <v>1.03</v>
      </c>
      <c r="H110" s="15"/>
      <c r="I110" s="15"/>
      <c r="J110" s="120" t="s">
        <v>445</v>
      </c>
      <c r="K110" s="120"/>
      <c r="L110" s="154">
        <v>0.98</v>
      </c>
      <c r="M110" s="6"/>
      <c r="N110" s="3"/>
      <c r="O110" s="122"/>
      <c r="P110" s="122"/>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row>
    <row r="111" spans="2:49" x14ac:dyDescent="0.2">
      <c r="B111" s="3"/>
      <c r="C111" s="3"/>
      <c r="D111" s="118" t="s">
        <v>107</v>
      </c>
      <c r="E111" s="118"/>
      <c r="F111" s="118" t="s">
        <v>454</v>
      </c>
      <c r="G111" s="118">
        <f t="shared" si="20"/>
        <v>1.1599999999999999</v>
      </c>
      <c r="H111" s="15"/>
      <c r="I111" s="15"/>
      <c r="J111" s="120" t="s">
        <v>446</v>
      </c>
      <c r="K111" s="120"/>
      <c r="L111" s="154">
        <v>0.98</v>
      </c>
      <c r="M111" s="6"/>
      <c r="N111" s="3"/>
      <c r="O111" s="122"/>
      <c r="P111" s="122"/>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row>
    <row r="112" spans="2:49" x14ac:dyDescent="0.2">
      <c r="B112" s="3"/>
      <c r="C112" s="3"/>
      <c r="D112" s="118" t="s">
        <v>108</v>
      </c>
      <c r="E112" s="118"/>
      <c r="F112" s="118" t="s">
        <v>409</v>
      </c>
      <c r="G112" s="118">
        <f t="shared" si="20"/>
        <v>1.18</v>
      </c>
      <c r="H112" s="15"/>
      <c r="I112" s="15"/>
      <c r="J112" s="120" t="s">
        <v>447</v>
      </c>
      <c r="K112" s="120"/>
      <c r="L112" s="154">
        <v>0.99</v>
      </c>
      <c r="M112" s="6"/>
      <c r="N112" s="3"/>
      <c r="O112" s="122"/>
      <c r="P112" s="122"/>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row>
    <row r="113" spans="2:50" x14ac:dyDescent="0.2">
      <c r="B113" s="3"/>
      <c r="C113" s="3"/>
      <c r="D113" s="118" t="s">
        <v>109</v>
      </c>
      <c r="E113" s="118"/>
      <c r="F113" s="118" t="s">
        <v>399</v>
      </c>
      <c r="G113" s="118">
        <f t="shared" si="20"/>
        <v>1.07</v>
      </c>
      <c r="H113" s="15"/>
      <c r="I113" s="15"/>
      <c r="J113" s="120" t="s">
        <v>448</v>
      </c>
      <c r="K113" s="120"/>
      <c r="L113" s="154">
        <v>0.98</v>
      </c>
      <c r="M113" s="6"/>
      <c r="N113" s="3"/>
      <c r="O113" s="122"/>
      <c r="P113" s="122"/>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row>
    <row r="114" spans="2:50" x14ac:dyDescent="0.2">
      <c r="B114" s="3"/>
      <c r="C114" s="3"/>
      <c r="D114" s="118" t="s">
        <v>110</v>
      </c>
      <c r="E114" s="118"/>
      <c r="F114" s="118" t="s">
        <v>391</v>
      </c>
      <c r="G114" s="118">
        <f t="shared" si="20"/>
        <v>0.93</v>
      </c>
      <c r="H114" s="15"/>
      <c r="I114" s="15"/>
      <c r="J114" s="120" t="s">
        <v>449</v>
      </c>
      <c r="K114" s="120"/>
      <c r="L114" s="154">
        <v>1.22</v>
      </c>
      <c r="M114" s="6"/>
      <c r="N114" s="3"/>
      <c r="O114" s="122"/>
      <c r="P114" s="122"/>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row>
    <row r="115" spans="2:50" x14ac:dyDescent="0.2">
      <c r="B115" s="3"/>
      <c r="C115" s="3"/>
      <c r="D115" s="118" t="s">
        <v>111</v>
      </c>
      <c r="E115" s="118"/>
      <c r="F115" s="118" t="s">
        <v>401</v>
      </c>
      <c r="G115" s="118">
        <f t="shared" si="20"/>
        <v>1.17</v>
      </c>
      <c r="H115" s="15"/>
      <c r="I115" s="15"/>
      <c r="J115" s="120" t="s">
        <v>450</v>
      </c>
      <c r="K115" s="120"/>
      <c r="L115" s="154">
        <v>0.92</v>
      </c>
      <c r="M115" s="6"/>
      <c r="N115" s="3"/>
      <c r="O115" s="122"/>
      <c r="P115" s="122"/>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row>
    <row r="116" spans="2:50" x14ac:dyDescent="0.2">
      <c r="B116" s="3"/>
      <c r="C116" s="3"/>
      <c r="D116" s="118" t="s">
        <v>112</v>
      </c>
      <c r="E116" s="118"/>
      <c r="F116" s="118" t="s">
        <v>389</v>
      </c>
      <c r="G116" s="118">
        <f t="shared" si="20"/>
        <v>1</v>
      </c>
      <c r="H116" s="15"/>
      <c r="I116" s="15"/>
      <c r="J116" s="120" t="s">
        <v>451</v>
      </c>
      <c r="K116" s="120"/>
      <c r="L116" s="154">
        <v>0.84</v>
      </c>
      <c r="M116" s="6"/>
      <c r="N116" s="3"/>
      <c r="O116" s="122"/>
      <c r="P116" s="122"/>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row>
    <row r="117" spans="2:50" x14ac:dyDescent="0.2">
      <c r="B117" s="3"/>
      <c r="C117" s="3"/>
      <c r="D117" s="118" t="s">
        <v>113</v>
      </c>
      <c r="E117" s="118"/>
      <c r="F117" s="118" t="s">
        <v>440</v>
      </c>
      <c r="G117" s="118">
        <f t="shared" si="20"/>
        <v>0.96</v>
      </c>
      <c r="H117" s="15"/>
      <c r="I117" s="15"/>
      <c r="J117" s="120" t="s">
        <v>452</v>
      </c>
      <c r="K117" s="120"/>
      <c r="L117" s="154">
        <v>1.04</v>
      </c>
      <c r="M117" s="6"/>
      <c r="N117" s="3"/>
      <c r="O117" s="122"/>
      <c r="P117" s="122"/>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row>
    <row r="118" spans="2:50" x14ac:dyDescent="0.2">
      <c r="B118" s="3"/>
      <c r="C118" s="3"/>
      <c r="D118" s="118" t="s">
        <v>114</v>
      </c>
      <c r="E118" s="118"/>
      <c r="F118" s="118" t="s">
        <v>388</v>
      </c>
      <c r="G118" s="118">
        <f t="shared" si="20"/>
        <v>0.92</v>
      </c>
      <c r="H118" s="15"/>
      <c r="I118" s="15"/>
      <c r="J118" s="120" t="s">
        <v>453</v>
      </c>
      <c r="K118" s="120"/>
      <c r="L118" s="154">
        <v>1.01</v>
      </c>
      <c r="M118" s="6"/>
      <c r="N118" s="3"/>
      <c r="O118" s="122"/>
      <c r="P118" s="122"/>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row>
    <row r="119" spans="2:50" x14ac:dyDescent="0.2">
      <c r="B119" s="3"/>
      <c r="C119" s="3"/>
      <c r="D119" s="118" t="s">
        <v>115</v>
      </c>
      <c r="E119" s="118"/>
      <c r="F119" s="118" t="s">
        <v>388</v>
      </c>
      <c r="G119" s="118">
        <f t="shared" si="20"/>
        <v>0.92</v>
      </c>
      <c r="H119" s="15"/>
      <c r="I119" s="15"/>
      <c r="J119" s="120" t="s">
        <v>454</v>
      </c>
      <c r="K119" s="120"/>
      <c r="L119" s="154">
        <v>1.1599999999999999</v>
      </c>
      <c r="M119" s="6"/>
      <c r="N119" s="3"/>
      <c r="O119" s="122"/>
      <c r="P119" s="122"/>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row>
    <row r="120" spans="2:50" x14ac:dyDescent="0.2">
      <c r="B120" s="3"/>
      <c r="C120" s="3"/>
      <c r="D120" s="118" t="s">
        <v>116</v>
      </c>
      <c r="E120" s="118"/>
      <c r="F120" s="118" t="s">
        <v>446</v>
      </c>
      <c r="G120" s="118">
        <f t="shared" si="20"/>
        <v>0.98</v>
      </c>
      <c r="H120" s="15"/>
      <c r="I120" s="15"/>
      <c r="J120" s="120" t="s">
        <v>455</v>
      </c>
      <c r="K120" s="120"/>
      <c r="L120" s="154">
        <v>0.96</v>
      </c>
      <c r="M120" s="6"/>
      <c r="N120" s="3"/>
      <c r="O120" s="122"/>
      <c r="P120" s="122"/>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row>
    <row r="121" spans="2:50" x14ac:dyDescent="0.2">
      <c r="B121" s="3"/>
      <c r="C121" s="3"/>
      <c r="D121" s="118" t="s">
        <v>117</v>
      </c>
      <c r="E121" s="118"/>
      <c r="F121" s="118" t="s">
        <v>401</v>
      </c>
      <c r="G121" s="118">
        <f t="shared" si="20"/>
        <v>1.17</v>
      </c>
      <c r="H121" s="15"/>
      <c r="I121" s="15"/>
      <c r="J121" s="120" t="s">
        <v>357</v>
      </c>
      <c r="K121" s="120"/>
      <c r="L121" s="154">
        <v>1</v>
      </c>
      <c r="M121" s="6"/>
      <c r="N121" s="3"/>
      <c r="O121" s="122"/>
      <c r="P121" s="122"/>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row>
    <row r="122" spans="2:50" x14ac:dyDescent="0.2">
      <c r="B122" s="3"/>
      <c r="C122" s="3"/>
      <c r="D122" s="118" t="s">
        <v>118</v>
      </c>
      <c r="E122" s="118"/>
      <c r="F122" s="118" t="s">
        <v>453</v>
      </c>
      <c r="G122" s="118">
        <f t="shared" si="20"/>
        <v>1.01</v>
      </c>
      <c r="H122" s="15"/>
      <c r="I122" s="15"/>
      <c r="J122" s="15"/>
      <c r="K122" s="15"/>
      <c r="L122" s="15"/>
      <c r="M122" s="6"/>
      <c r="N122" s="3"/>
      <c r="O122" s="122"/>
      <c r="P122" s="122"/>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row>
    <row r="123" spans="2:50" x14ac:dyDescent="0.2">
      <c r="B123" s="3"/>
      <c r="C123" s="3"/>
      <c r="D123" s="118" t="s">
        <v>119</v>
      </c>
      <c r="E123" s="118"/>
      <c r="F123" s="118" t="s">
        <v>410</v>
      </c>
      <c r="G123" s="118">
        <f t="shared" si="20"/>
        <v>1.22</v>
      </c>
      <c r="H123" s="15"/>
      <c r="I123" s="15"/>
      <c r="J123" s="15"/>
      <c r="K123" s="15"/>
      <c r="L123" s="15"/>
      <c r="M123" s="6"/>
      <c r="N123" s="3"/>
      <c r="O123" s="122"/>
      <c r="P123" s="122"/>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row>
    <row r="124" spans="2:50" x14ac:dyDescent="0.2">
      <c r="B124" s="3"/>
      <c r="C124" s="3"/>
      <c r="D124" s="118" t="s">
        <v>120</v>
      </c>
      <c r="E124" s="118"/>
      <c r="F124" s="118" t="s">
        <v>384</v>
      </c>
      <c r="G124" s="118">
        <f t="shared" si="20"/>
        <v>1</v>
      </c>
      <c r="H124" s="15"/>
      <c r="I124" s="15"/>
      <c r="J124" s="15"/>
      <c r="K124" s="15"/>
      <c r="L124" s="15"/>
      <c r="M124" s="6"/>
      <c r="O124" s="122"/>
      <c r="P124" s="122"/>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row>
    <row r="125" spans="2:50" x14ac:dyDescent="0.2">
      <c r="B125" s="3"/>
      <c r="C125" s="3"/>
      <c r="D125" s="118" t="s">
        <v>121</v>
      </c>
      <c r="E125" s="118"/>
      <c r="F125" s="118" t="s">
        <v>389</v>
      </c>
      <c r="G125" s="118">
        <f t="shared" si="20"/>
        <v>1</v>
      </c>
      <c r="H125" s="15"/>
      <c r="I125" s="15"/>
      <c r="J125" s="123"/>
      <c r="K125" s="123"/>
      <c r="L125" s="123"/>
      <c r="M125" s="124"/>
      <c r="N125" s="121"/>
      <c r="O125" s="122"/>
      <c r="P125" s="122"/>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row>
    <row r="126" spans="2:50" x14ac:dyDescent="0.2">
      <c r="B126" s="3"/>
      <c r="C126" s="3"/>
      <c r="D126" s="118" t="s">
        <v>122</v>
      </c>
      <c r="E126" s="118"/>
      <c r="F126" s="118" t="s">
        <v>390</v>
      </c>
      <c r="G126" s="118">
        <f t="shared" si="20"/>
        <v>1.02</v>
      </c>
      <c r="H126" s="15"/>
      <c r="I126" s="15"/>
      <c r="J126" s="123"/>
      <c r="K126" s="123"/>
      <c r="L126" s="123"/>
      <c r="M126" s="124"/>
      <c r="N126" s="121"/>
      <c r="O126" s="122"/>
      <c r="P126" s="122"/>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row>
    <row r="127" spans="2:50" x14ac:dyDescent="0.2">
      <c r="B127" s="3"/>
      <c r="C127" s="3"/>
      <c r="D127" s="118" t="s">
        <v>123</v>
      </c>
      <c r="E127" s="118"/>
      <c r="F127" s="118" t="s">
        <v>397</v>
      </c>
      <c r="G127" s="118">
        <f t="shared" si="20"/>
        <v>1.1299999999999999</v>
      </c>
      <c r="H127" s="15"/>
      <c r="I127" s="15"/>
      <c r="J127" s="123"/>
      <c r="K127" s="123"/>
      <c r="L127" s="123"/>
      <c r="M127" s="124"/>
      <c r="N127" s="121"/>
      <c r="O127" s="122"/>
      <c r="P127" s="122"/>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row>
    <row r="128" spans="2:50" x14ac:dyDescent="0.2">
      <c r="B128" s="3"/>
      <c r="C128" s="3"/>
      <c r="D128" s="118" t="s">
        <v>124</v>
      </c>
      <c r="E128" s="118"/>
      <c r="F128" s="118" t="s">
        <v>399</v>
      </c>
      <c r="G128" s="118">
        <f t="shared" si="20"/>
        <v>1.07</v>
      </c>
      <c r="H128" s="15"/>
      <c r="I128" s="15"/>
      <c r="J128" s="123"/>
      <c r="K128" s="123"/>
      <c r="L128" s="123"/>
      <c r="M128" s="124"/>
      <c r="N128" s="121"/>
      <c r="O128" s="122"/>
      <c r="P128" s="122"/>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row>
    <row r="129" spans="2:50" x14ac:dyDescent="0.2">
      <c r="B129" s="3"/>
      <c r="C129" s="3"/>
      <c r="D129" s="118" t="s">
        <v>125</v>
      </c>
      <c r="E129" s="118"/>
      <c r="F129" s="118" t="s">
        <v>435</v>
      </c>
      <c r="G129" s="118">
        <f t="shared" si="20"/>
        <v>0.91</v>
      </c>
      <c r="H129" s="15"/>
      <c r="I129" s="15"/>
      <c r="J129" s="123"/>
      <c r="K129" s="123"/>
      <c r="L129" s="123"/>
      <c r="M129" s="124"/>
      <c r="N129" s="121"/>
      <c r="O129" s="122"/>
      <c r="P129" s="122"/>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row>
    <row r="130" spans="2:50" x14ac:dyDescent="0.2">
      <c r="B130" s="3"/>
      <c r="C130" s="3"/>
      <c r="D130" s="118" t="s">
        <v>126</v>
      </c>
      <c r="E130" s="118"/>
      <c r="F130" s="118" t="s">
        <v>440</v>
      </c>
      <c r="G130" s="118">
        <f t="shared" si="20"/>
        <v>0.96</v>
      </c>
      <c r="H130" s="15"/>
      <c r="I130" s="15"/>
      <c r="J130" s="123"/>
      <c r="K130" s="123"/>
      <c r="L130" s="123"/>
      <c r="M130" s="124"/>
      <c r="N130" s="121"/>
      <c r="O130" s="122"/>
      <c r="P130" s="122"/>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row>
    <row r="131" spans="2:50" x14ac:dyDescent="0.2">
      <c r="B131" s="3"/>
      <c r="C131" s="3"/>
      <c r="D131" s="118" t="s">
        <v>127</v>
      </c>
      <c r="E131" s="118"/>
      <c r="F131" s="118" t="s">
        <v>400</v>
      </c>
      <c r="G131" s="118">
        <f t="shared" si="20"/>
        <v>0.97</v>
      </c>
      <c r="H131" s="15"/>
      <c r="I131" s="15"/>
      <c r="J131" s="123"/>
      <c r="K131" s="123"/>
      <c r="L131" s="123"/>
      <c r="M131" s="124"/>
      <c r="N131" s="121"/>
      <c r="O131" s="122"/>
      <c r="P131" s="122"/>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row>
    <row r="132" spans="2:50" x14ac:dyDescent="0.2">
      <c r="B132" s="3"/>
      <c r="C132" s="3"/>
      <c r="D132" s="118" t="s">
        <v>128</v>
      </c>
      <c r="E132" s="118"/>
      <c r="F132" s="118" t="s">
        <v>447</v>
      </c>
      <c r="G132" s="118">
        <f t="shared" si="20"/>
        <v>0.99</v>
      </c>
      <c r="H132" s="15"/>
      <c r="I132" s="15"/>
      <c r="J132" s="123"/>
      <c r="K132" s="123"/>
      <c r="L132" s="123"/>
      <c r="M132" s="124"/>
      <c r="N132" s="121"/>
      <c r="O132" s="122"/>
      <c r="P132" s="122"/>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row>
    <row r="133" spans="2:50" x14ac:dyDescent="0.2">
      <c r="B133" s="3"/>
      <c r="C133" s="3"/>
      <c r="D133" s="118" t="s">
        <v>129</v>
      </c>
      <c r="E133" s="118"/>
      <c r="F133" s="118" t="s">
        <v>392</v>
      </c>
      <c r="G133" s="118">
        <f t="shared" si="20"/>
        <v>1.17</v>
      </c>
      <c r="H133" s="15"/>
      <c r="I133" s="15"/>
      <c r="J133" s="123"/>
      <c r="K133" s="123"/>
      <c r="L133" s="123"/>
      <c r="M133" s="124"/>
      <c r="N133" s="121"/>
      <c r="O133" s="122"/>
      <c r="P133" s="122"/>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row>
    <row r="134" spans="2:50" x14ac:dyDescent="0.2">
      <c r="B134" s="3"/>
      <c r="C134" s="3"/>
      <c r="D134" s="118" t="s">
        <v>130</v>
      </c>
      <c r="E134" s="118"/>
      <c r="F134" s="118" t="s">
        <v>397</v>
      </c>
      <c r="G134" s="118">
        <f t="shared" si="20"/>
        <v>1.1299999999999999</v>
      </c>
      <c r="H134" s="15"/>
      <c r="I134" s="15"/>
      <c r="J134" s="123"/>
      <c r="K134" s="123"/>
      <c r="L134" s="123"/>
      <c r="M134" s="124"/>
      <c r="N134" s="121"/>
      <c r="O134" s="122"/>
      <c r="P134" s="122"/>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row>
    <row r="135" spans="2:50" x14ac:dyDescent="0.2">
      <c r="B135" s="3"/>
      <c r="C135" s="3"/>
      <c r="D135" s="118" t="s">
        <v>131</v>
      </c>
      <c r="E135" s="118"/>
      <c r="F135" s="118" t="s">
        <v>387</v>
      </c>
      <c r="G135" s="118">
        <f t="shared" si="20"/>
        <v>0.99</v>
      </c>
      <c r="H135" s="15"/>
      <c r="I135" s="15"/>
      <c r="J135" s="123"/>
      <c r="K135" s="123"/>
      <c r="L135" s="123"/>
      <c r="M135" s="124"/>
      <c r="N135" s="121"/>
      <c r="O135" s="122"/>
      <c r="P135" s="122"/>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row>
    <row r="136" spans="2:50" x14ac:dyDescent="0.2">
      <c r="B136" s="3"/>
      <c r="C136" s="3"/>
      <c r="D136" s="118" t="s">
        <v>132</v>
      </c>
      <c r="E136" s="118"/>
      <c r="F136" s="118" t="s">
        <v>449</v>
      </c>
      <c r="G136" s="118">
        <f t="shared" si="20"/>
        <v>1.22</v>
      </c>
      <c r="H136" s="15"/>
      <c r="I136" s="15"/>
      <c r="J136" s="123"/>
      <c r="K136" s="123"/>
      <c r="L136" s="123"/>
      <c r="M136" s="124"/>
      <c r="N136" s="121"/>
      <c r="O136" s="122"/>
      <c r="P136" s="122"/>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row>
    <row r="137" spans="2:50" x14ac:dyDescent="0.2">
      <c r="B137" s="3"/>
      <c r="C137" s="3"/>
      <c r="D137" s="118" t="s">
        <v>133</v>
      </c>
      <c r="E137" s="118"/>
      <c r="F137" s="118" t="s">
        <v>411</v>
      </c>
      <c r="G137" s="118">
        <f t="shared" si="20"/>
        <v>1.1299999999999999</v>
      </c>
      <c r="H137" s="15"/>
      <c r="I137" s="15"/>
      <c r="J137" s="123"/>
      <c r="K137" s="123"/>
      <c r="L137" s="123"/>
      <c r="M137" s="124"/>
      <c r="N137" s="121"/>
      <c r="O137" s="122"/>
      <c r="P137" s="122"/>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row>
    <row r="138" spans="2:50" x14ac:dyDescent="0.2">
      <c r="B138" s="3"/>
      <c r="C138" s="3"/>
      <c r="D138" s="118" t="s">
        <v>134</v>
      </c>
      <c r="E138" s="118"/>
      <c r="F138" s="118" t="s">
        <v>394</v>
      </c>
      <c r="G138" s="118">
        <f t="shared" si="20"/>
        <v>1.04</v>
      </c>
      <c r="H138" s="15"/>
      <c r="I138" s="15"/>
      <c r="J138" s="123"/>
      <c r="K138" s="123"/>
      <c r="L138" s="123"/>
      <c r="M138" s="124"/>
      <c r="N138" s="121"/>
      <c r="O138" s="122"/>
      <c r="P138" s="122"/>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row>
    <row r="139" spans="2:50" x14ac:dyDescent="0.2">
      <c r="B139" s="3"/>
      <c r="C139" s="3"/>
      <c r="D139" s="118" t="s">
        <v>135</v>
      </c>
      <c r="E139" s="118"/>
      <c r="F139" s="118" t="s">
        <v>449</v>
      </c>
      <c r="G139" s="118">
        <f t="shared" si="20"/>
        <v>1.22</v>
      </c>
      <c r="H139" s="15"/>
      <c r="I139" s="15"/>
      <c r="J139" s="123"/>
      <c r="K139" s="123"/>
      <c r="L139" s="123"/>
      <c r="M139" s="124"/>
      <c r="N139" s="121"/>
      <c r="O139" s="122"/>
      <c r="P139" s="122"/>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row>
    <row r="140" spans="2:50" x14ac:dyDescent="0.2">
      <c r="B140" s="3"/>
      <c r="C140" s="3"/>
      <c r="D140" s="118" t="s">
        <v>136</v>
      </c>
      <c r="E140" s="118"/>
      <c r="F140" s="118" t="s">
        <v>388</v>
      </c>
      <c r="G140" s="118">
        <f t="shared" si="20"/>
        <v>0.92</v>
      </c>
      <c r="H140" s="15"/>
      <c r="I140" s="15"/>
      <c r="J140" s="123"/>
      <c r="K140" s="123"/>
      <c r="L140" s="123"/>
      <c r="M140" s="124"/>
      <c r="N140" s="121"/>
      <c r="O140" s="122"/>
      <c r="P140" s="122"/>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row>
    <row r="141" spans="2:50" x14ac:dyDescent="0.2">
      <c r="B141" s="3"/>
      <c r="C141" s="3"/>
      <c r="D141" s="118" t="s">
        <v>137</v>
      </c>
      <c r="E141" s="118"/>
      <c r="F141" s="118" t="s">
        <v>389</v>
      </c>
      <c r="G141" s="118">
        <f t="shared" si="20"/>
        <v>1</v>
      </c>
      <c r="H141" s="15"/>
      <c r="I141" s="15"/>
      <c r="J141" s="123"/>
      <c r="K141" s="123"/>
      <c r="L141" s="123"/>
      <c r="M141" s="124"/>
      <c r="N141" s="121"/>
      <c r="O141" s="122"/>
      <c r="P141" s="122"/>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row>
    <row r="142" spans="2:50" x14ac:dyDescent="0.2">
      <c r="B142" s="3"/>
      <c r="C142" s="3"/>
      <c r="D142" s="118" t="s">
        <v>138</v>
      </c>
      <c r="E142" s="118"/>
      <c r="F142" s="118" t="s">
        <v>445</v>
      </c>
      <c r="G142" s="118">
        <f t="shared" si="20"/>
        <v>0.98</v>
      </c>
      <c r="H142" s="15"/>
      <c r="I142" s="15"/>
      <c r="J142" s="123"/>
      <c r="K142" s="123"/>
      <c r="L142" s="123"/>
      <c r="M142" s="124"/>
      <c r="N142" s="121"/>
      <c r="O142" s="122"/>
      <c r="P142" s="122"/>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row>
    <row r="143" spans="2:50" x14ac:dyDescent="0.2">
      <c r="B143" s="3"/>
      <c r="C143" s="3"/>
      <c r="D143" s="118" t="s">
        <v>139</v>
      </c>
      <c r="E143" s="118"/>
      <c r="F143" s="118" t="s">
        <v>397</v>
      </c>
      <c r="G143" s="118">
        <f t="shared" si="20"/>
        <v>1.1299999999999999</v>
      </c>
      <c r="H143" s="15"/>
      <c r="I143" s="15"/>
      <c r="J143" s="123"/>
      <c r="K143" s="123"/>
      <c r="L143" s="123"/>
      <c r="M143" s="124"/>
      <c r="N143" s="121"/>
      <c r="O143" s="122"/>
      <c r="P143" s="122"/>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row>
    <row r="144" spans="2:50" x14ac:dyDescent="0.2">
      <c r="B144" s="3"/>
      <c r="C144" s="3"/>
      <c r="D144" s="118" t="s">
        <v>140</v>
      </c>
      <c r="E144" s="118"/>
      <c r="F144" s="118" t="s">
        <v>384</v>
      </c>
      <c r="G144" s="118">
        <f t="shared" si="20"/>
        <v>1</v>
      </c>
      <c r="H144" s="15"/>
      <c r="I144" s="15"/>
      <c r="J144" s="123"/>
      <c r="K144" s="123"/>
      <c r="L144" s="123"/>
      <c r="M144" s="124"/>
      <c r="N144" s="121"/>
      <c r="O144" s="122"/>
      <c r="P144" s="122"/>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row>
    <row r="145" spans="2:50" x14ac:dyDescent="0.2">
      <c r="B145" s="3"/>
      <c r="C145" s="3"/>
      <c r="D145" s="118" t="s">
        <v>141</v>
      </c>
      <c r="E145" s="118"/>
      <c r="F145" s="118" t="s">
        <v>448</v>
      </c>
      <c r="G145" s="118">
        <f t="shared" si="20"/>
        <v>0.98</v>
      </c>
      <c r="H145" s="15"/>
      <c r="I145" s="15"/>
      <c r="J145" s="123"/>
      <c r="K145" s="123"/>
      <c r="L145" s="123"/>
      <c r="M145" s="124"/>
      <c r="N145" s="121"/>
      <c r="O145" s="122"/>
      <c r="P145" s="122"/>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row>
    <row r="146" spans="2:50" x14ac:dyDescent="0.2">
      <c r="B146" s="3"/>
      <c r="C146" s="3"/>
      <c r="D146" s="118" t="s">
        <v>142</v>
      </c>
      <c r="E146" s="118"/>
      <c r="F146" s="118" t="s">
        <v>395</v>
      </c>
      <c r="G146" s="118">
        <f t="shared" si="20"/>
        <v>1.01</v>
      </c>
      <c r="H146" s="15"/>
      <c r="I146" s="15"/>
      <c r="J146" s="123"/>
      <c r="K146" s="123"/>
      <c r="L146" s="123"/>
      <c r="M146" s="124"/>
      <c r="N146" s="121"/>
      <c r="O146" s="122"/>
      <c r="P146" s="122"/>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row>
    <row r="147" spans="2:50" x14ac:dyDescent="0.2">
      <c r="B147" s="3"/>
      <c r="C147" s="3"/>
      <c r="D147" s="118" t="s">
        <v>143</v>
      </c>
      <c r="E147" s="118"/>
      <c r="F147" s="118" t="s">
        <v>402</v>
      </c>
      <c r="G147" s="118">
        <f t="shared" si="20"/>
        <v>0.97</v>
      </c>
      <c r="H147" s="15"/>
      <c r="I147" s="15"/>
      <c r="J147" s="123"/>
      <c r="K147" s="123"/>
      <c r="L147" s="123"/>
      <c r="M147" s="124"/>
      <c r="N147" s="121"/>
      <c r="O147" s="122"/>
      <c r="P147" s="122"/>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row>
    <row r="148" spans="2:50" x14ac:dyDescent="0.2">
      <c r="B148" s="3"/>
      <c r="C148" s="3"/>
      <c r="D148" s="118" t="s">
        <v>144</v>
      </c>
      <c r="E148" s="118"/>
      <c r="F148" s="118" t="s">
        <v>450</v>
      </c>
      <c r="G148" s="118">
        <f t="shared" si="20"/>
        <v>0.92</v>
      </c>
      <c r="H148" s="15"/>
      <c r="I148" s="15"/>
      <c r="J148" s="123"/>
      <c r="K148" s="123"/>
      <c r="L148" s="123"/>
      <c r="M148" s="124"/>
      <c r="N148" s="121"/>
      <c r="O148" s="122"/>
      <c r="P148" s="122"/>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row>
    <row r="149" spans="2:50" x14ac:dyDescent="0.2">
      <c r="B149" s="3"/>
      <c r="C149" s="3"/>
      <c r="D149" s="118" t="s">
        <v>145</v>
      </c>
      <c r="E149" s="118"/>
      <c r="F149" s="118" t="s">
        <v>442</v>
      </c>
      <c r="G149" s="118">
        <f t="shared" si="20"/>
        <v>0.91</v>
      </c>
      <c r="H149" s="15"/>
      <c r="I149" s="15"/>
      <c r="J149" s="123"/>
      <c r="K149" s="123"/>
      <c r="L149" s="123"/>
      <c r="M149" s="124"/>
      <c r="N149" s="121"/>
      <c r="O149" s="122"/>
      <c r="P149" s="122"/>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row>
    <row r="150" spans="2:50" x14ac:dyDescent="0.2">
      <c r="B150" s="3"/>
      <c r="C150" s="3"/>
      <c r="D150" s="118" t="s">
        <v>146</v>
      </c>
      <c r="E150" s="118"/>
      <c r="F150" s="118" t="s">
        <v>395</v>
      </c>
      <c r="G150" s="118">
        <f t="shared" si="20"/>
        <v>1.01</v>
      </c>
      <c r="H150" s="15"/>
      <c r="I150" s="15"/>
      <c r="J150" s="123"/>
      <c r="K150" s="123"/>
      <c r="L150" s="123"/>
      <c r="M150" s="124"/>
      <c r="N150" s="121"/>
      <c r="O150" s="122"/>
      <c r="P150" s="122"/>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row>
    <row r="151" spans="2:50" x14ac:dyDescent="0.2">
      <c r="B151" s="3"/>
      <c r="C151" s="3"/>
      <c r="D151" s="118" t="s">
        <v>147</v>
      </c>
      <c r="E151" s="118"/>
      <c r="F151" s="118" t="s">
        <v>397</v>
      </c>
      <c r="G151" s="118">
        <f t="shared" si="20"/>
        <v>1.1299999999999999</v>
      </c>
      <c r="H151" s="15"/>
      <c r="I151" s="15"/>
      <c r="J151" s="123"/>
      <c r="K151" s="123"/>
      <c r="L151" s="123"/>
      <c r="M151" s="124"/>
      <c r="N151" s="121"/>
      <c r="O151" s="122"/>
      <c r="P151" s="122"/>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row>
    <row r="152" spans="2:50" x14ac:dyDescent="0.2">
      <c r="B152" s="3"/>
      <c r="C152" s="3"/>
      <c r="D152" s="118" t="s">
        <v>148</v>
      </c>
      <c r="E152" s="118"/>
      <c r="F152" s="118" t="s">
        <v>401</v>
      </c>
      <c r="G152" s="118">
        <f t="shared" si="20"/>
        <v>1.17</v>
      </c>
      <c r="H152" s="15"/>
      <c r="I152" s="15"/>
      <c r="J152" s="123"/>
      <c r="K152" s="123"/>
      <c r="L152" s="123"/>
      <c r="M152" s="124"/>
      <c r="N152" s="121"/>
      <c r="O152" s="122"/>
      <c r="P152" s="122"/>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row>
    <row r="153" spans="2:50" x14ac:dyDescent="0.2">
      <c r="B153" s="3"/>
      <c r="C153" s="3"/>
      <c r="D153" s="118" t="s">
        <v>149</v>
      </c>
      <c r="E153" s="118"/>
      <c r="F153" s="118" t="s">
        <v>438</v>
      </c>
      <c r="G153" s="118">
        <f t="shared" si="20"/>
        <v>0.96</v>
      </c>
      <c r="H153" s="15"/>
      <c r="I153" s="15"/>
      <c r="J153" s="123"/>
      <c r="K153" s="123"/>
      <c r="L153" s="123"/>
      <c r="M153" s="124"/>
      <c r="N153" s="121"/>
      <c r="O153" s="122"/>
      <c r="P153" s="122"/>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row>
    <row r="154" spans="2:50" x14ac:dyDescent="0.2">
      <c r="B154" s="3"/>
      <c r="C154" s="3"/>
      <c r="D154" s="118" t="s">
        <v>150</v>
      </c>
      <c r="E154" s="118"/>
      <c r="F154" s="118" t="s">
        <v>412</v>
      </c>
      <c r="G154" s="118">
        <f t="shared" si="20"/>
        <v>1.19</v>
      </c>
      <c r="H154" s="15"/>
      <c r="I154" s="15"/>
      <c r="J154" s="123"/>
      <c r="K154" s="123"/>
      <c r="L154" s="123"/>
      <c r="M154" s="124"/>
      <c r="N154" s="121"/>
      <c r="O154" s="122"/>
      <c r="P154" s="122"/>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row>
    <row r="155" spans="2:50" x14ac:dyDescent="0.2">
      <c r="B155" s="3"/>
      <c r="C155" s="3"/>
      <c r="D155" s="118" t="s">
        <v>151</v>
      </c>
      <c r="E155" s="118"/>
      <c r="F155" s="118" t="s">
        <v>449</v>
      </c>
      <c r="G155" s="118">
        <f t="shared" si="20"/>
        <v>1.22</v>
      </c>
      <c r="H155" s="15"/>
      <c r="I155" s="15"/>
      <c r="J155" s="123"/>
      <c r="K155" s="123"/>
      <c r="L155" s="123"/>
      <c r="M155" s="124"/>
      <c r="N155" s="121"/>
      <c r="O155" s="122"/>
      <c r="P155" s="122"/>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row>
    <row r="156" spans="2:50" x14ac:dyDescent="0.2">
      <c r="B156" s="3"/>
      <c r="C156" s="3"/>
      <c r="D156" s="118" t="s">
        <v>152</v>
      </c>
      <c r="E156" s="118"/>
      <c r="F156" s="118" t="s">
        <v>413</v>
      </c>
      <c r="G156" s="118">
        <f t="shared" si="20"/>
        <v>1.21</v>
      </c>
      <c r="H156" s="15"/>
      <c r="I156" s="15"/>
      <c r="J156" s="123"/>
      <c r="K156" s="123"/>
      <c r="L156" s="123"/>
      <c r="M156" s="124"/>
      <c r="N156" s="121"/>
      <c r="O156" s="122"/>
      <c r="P156" s="122"/>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row>
    <row r="157" spans="2:50" x14ac:dyDescent="0.2">
      <c r="B157" s="3"/>
      <c r="C157" s="3"/>
      <c r="D157" s="118" t="s">
        <v>153</v>
      </c>
      <c r="E157" s="118"/>
      <c r="F157" s="118" t="s">
        <v>385</v>
      </c>
      <c r="G157" s="118">
        <f t="shared" si="20"/>
        <v>0.98</v>
      </c>
      <c r="H157" s="15"/>
      <c r="I157" s="15"/>
      <c r="J157" s="123"/>
      <c r="K157" s="123"/>
      <c r="L157" s="123"/>
      <c r="M157" s="124"/>
      <c r="N157" s="121"/>
      <c r="O157" s="122"/>
      <c r="P157" s="122"/>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row>
    <row r="158" spans="2:50" x14ac:dyDescent="0.2">
      <c r="B158" s="3"/>
      <c r="C158" s="3"/>
      <c r="D158" s="118" t="s">
        <v>154</v>
      </c>
      <c r="E158" s="118"/>
      <c r="F158" s="118" t="s">
        <v>439</v>
      </c>
      <c r="G158" s="118">
        <f t="shared" si="20"/>
        <v>1.03</v>
      </c>
      <c r="H158" s="15"/>
      <c r="I158" s="15"/>
      <c r="J158" s="123"/>
      <c r="K158" s="123"/>
      <c r="L158" s="123"/>
      <c r="M158" s="124"/>
      <c r="N158" s="121"/>
      <c r="O158" s="122"/>
      <c r="P158" s="122"/>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row>
    <row r="159" spans="2:50" x14ac:dyDescent="0.2">
      <c r="B159" s="3"/>
      <c r="C159" s="3"/>
      <c r="D159" s="118" t="s">
        <v>155</v>
      </c>
      <c r="E159" s="118"/>
      <c r="F159" s="118" t="s">
        <v>414</v>
      </c>
      <c r="G159" s="118">
        <f t="shared" si="20"/>
        <v>1.24</v>
      </c>
      <c r="H159" s="15"/>
      <c r="I159" s="15"/>
      <c r="J159" s="123"/>
      <c r="K159" s="123"/>
      <c r="L159" s="123"/>
      <c r="M159" s="124"/>
      <c r="N159" s="121"/>
      <c r="O159" s="122"/>
      <c r="P159" s="122"/>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row>
    <row r="160" spans="2:50" x14ac:dyDescent="0.2">
      <c r="B160" s="3"/>
      <c r="C160" s="3"/>
      <c r="D160" s="118" t="s">
        <v>156</v>
      </c>
      <c r="E160" s="118"/>
      <c r="F160" s="118" t="s">
        <v>434</v>
      </c>
      <c r="G160" s="118">
        <f t="shared" si="20"/>
        <v>0.91</v>
      </c>
      <c r="H160" s="15"/>
      <c r="I160" s="15"/>
      <c r="J160" s="123"/>
      <c r="K160" s="123"/>
      <c r="L160" s="123"/>
      <c r="M160" s="124"/>
      <c r="N160" s="121"/>
      <c r="O160" s="122"/>
      <c r="P160" s="122"/>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row>
    <row r="161" spans="2:50" x14ac:dyDescent="0.2">
      <c r="B161" s="3"/>
      <c r="C161" s="3"/>
      <c r="D161" s="118" t="s">
        <v>157</v>
      </c>
      <c r="E161" s="118"/>
      <c r="F161" s="118" t="s">
        <v>415</v>
      </c>
      <c r="G161" s="118">
        <f t="shared" si="20"/>
        <v>1.24</v>
      </c>
      <c r="H161" s="15"/>
      <c r="I161" s="15"/>
      <c r="J161" s="123"/>
      <c r="K161" s="123"/>
      <c r="L161" s="123"/>
      <c r="M161" s="124"/>
      <c r="N161" s="121"/>
      <c r="O161" s="122"/>
      <c r="P161" s="122"/>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row>
    <row r="162" spans="2:50" x14ac:dyDescent="0.2">
      <c r="B162" s="3"/>
      <c r="C162" s="3"/>
      <c r="D162" s="118" t="s">
        <v>158</v>
      </c>
      <c r="E162" s="118"/>
      <c r="F162" s="118" t="s">
        <v>394</v>
      </c>
      <c r="G162" s="118">
        <f t="shared" si="20"/>
        <v>1.04</v>
      </c>
      <c r="H162" s="15"/>
      <c r="I162" s="15"/>
      <c r="J162" s="123"/>
      <c r="K162" s="123"/>
      <c r="L162" s="123"/>
      <c r="M162" s="124"/>
      <c r="N162" s="121"/>
      <c r="O162" s="122"/>
      <c r="P162" s="122"/>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row>
    <row r="163" spans="2:50" x14ac:dyDescent="0.2">
      <c r="B163" s="3"/>
      <c r="C163" s="3"/>
      <c r="D163" s="118" t="s">
        <v>159</v>
      </c>
      <c r="E163" s="118"/>
      <c r="F163" s="118" t="s">
        <v>439</v>
      </c>
      <c r="G163" s="118">
        <f t="shared" si="20"/>
        <v>1.03</v>
      </c>
      <c r="H163" s="15"/>
      <c r="I163" s="15"/>
      <c r="J163" s="123"/>
      <c r="K163" s="123"/>
      <c r="L163" s="123"/>
      <c r="M163" s="124"/>
      <c r="N163" s="121"/>
      <c r="O163" s="122"/>
      <c r="P163" s="122"/>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row>
    <row r="164" spans="2:50" x14ac:dyDescent="0.2">
      <c r="B164" s="3"/>
      <c r="C164" s="3"/>
      <c r="D164" s="118" t="s">
        <v>160</v>
      </c>
      <c r="E164" s="118"/>
      <c r="F164" s="118" t="s">
        <v>416</v>
      </c>
      <c r="G164" s="118">
        <f t="shared" si="20"/>
        <v>1.1200000000000001</v>
      </c>
      <c r="H164" s="15"/>
      <c r="I164" s="15"/>
      <c r="J164" s="123"/>
      <c r="K164" s="123"/>
      <c r="L164" s="123"/>
      <c r="M164" s="124"/>
      <c r="N164" s="121"/>
      <c r="O164" s="122"/>
      <c r="P164" s="122"/>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row>
    <row r="165" spans="2:50" x14ac:dyDescent="0.2">
      <c r="B165" s="3"/>
      <c r="C165" s="3"/>
      <c r="D165" s="118" t="s">
        <v>161</v>
      </c>
      <c r="E165" s="118"/>
      <c r="F165" s="118" t="s">
        <v>397</v>
      </c>
      <c r="G165" s="118">
        <f t="shared" si="20"/>
        <v>1.1299999999999999</v>
      </c>
      <c r="H165" s="15"/>
      <c r="I165" s="15"/>
      <c r="J165" s="123"/>
      <c r="K165" s="123"/>
      <c r="L165" s="123"/>
      <c r="M165" s="124"/>
      <c r="N165" s="121"/>
      <c r="O165" s="122"/>
      <c r="P165" s="122"/>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row>
    <row r="166" spans="2:50" x14ac:dyDescent="0.2">
      <c r="B166" s="3"/>
      <c r="C166" s="3"/>
      <c r="D166" s="118" t="s">
        <v>162</v>
      </c>
      <c r="E166" s="118"/>
      <c r="F166" s="118" t="s">
        <v>391</v>
      </c>
      <c r="G166" s="118">
        <f t="shared" si="20"/>
        <v>0.93</v>
      </c>
      <c r="H166" s="15"/>
      <c r="I166" s="15"/>
      <c r="J166" s="123"/>
      <c r="K166" s="123"/>
      <c r="L166" s="123"/>
      <c r="M166" s="124"/>
      <c r="N166" s="121"/>
      <c r="O166" s="122"/>
      <c r="P166" s="122"/>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row>
    <row r="167" spans="2:50" x14ac:dyDescent="0.2">
      <c r="B167" s="3"/>
      <c r="C167" s="3"/>
      <c r="D167" s="118" t="s">
        <v>163</v>
      </c>
      <c r="E167" s="118"/>
      <c r="F167" s="118" t="s">
        <v>392</v>
      </c>
      <c r="G167" s="118">
        <f t="shared" si="20"/>
        <v>1.17</v>
      </c>
      <c r="H167" s="15"/>
      <c r="I167" s="15"/>
      <c r="J167" s="123"/>
      <c r="K167" s="123"/>
      <c r="L167" s="123"/>
      <c r="M167" s="124"/>
      <c r="N167" s="121"/>
      <c r="O167" s="122"/>
      <c r="P167" s="122"/>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row>
    <row r="168" spans="2:50" x14ac:dyDescent="0.2">
      <c r="B168" s="3"/>
      <c r="C168" s="3"/>
      <c r="D168" s="118" t="s">
        <v>164</v>
      </c>
      <c r="E168" s="118"/>
      <c r="F168" s="118" t="s">
        <v>397</v>
      </c>
      <c r="G168" s="118">
        <f t="shared" si="20"/>
        <v>1.1299999999999999</v>
      </c>
      <c r="H168" s="15"/>
      <c r="I168" s="15"/>
      <c r="J168" s="123"/>
      <c r="K168" s="123"/>
      <c r="L168" s="123"/>
      <c r="M168" s="124"/>
      <c r="N168" s="121"/>
      <c r="O168" s="122"/>
      <c r="P168" s="122"/>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row>
    <row r="169" spans="2:50" x14ac:dyDescent="0.2">
      <c r="B169" s="3"/>
      <c r="C169" s="3"/>
      <c r="D169" s="118" t="s">
        <v>165</v>
      </c>
      <c r="E169" s="118"/>
      <c r="F169" s="118" t="s">
        <v>417</v>
      </c>
      <c r="G169" s="118">
        <f t="shared" ref="G169:G232" si="21">LOOKUP(F169,$J$41:$J$121,$L$41:$L$121)</f>
        <v>1.03</v>
      </c>
      <c r="H169" s="15"/>
      <c r="I169" s="15"/>
      <c r="J169" s="123"/>
      <c r="K169" s="123"/>
      <c r="L169" s="123"/>
      <c r="M169" s="124"/>
      <c r="N169" s="121"/>
      <c r="O169" s="122"/>
      <c r="P169" s="122"/>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row>
    <row r="170" spans="2:50" x14ac:dyDescent="0.2">
      <c r="B170" s="3"/>
      <c r="C170" s="3"/>
      <c r="D170" s="118" t="s">
        <v>166</v>
      </c>
      <c r="E170" s="118"/>
      <c r="F170" s="118" t="s">
        <v>399</v>
      </c>
      <c r="G170" s="118">
        <f t="shared" si="21"/>
        <v>1.07</v>
      </c>
      <c r="H170" s="15"/>
      <c r="I170" s="15"/>
      <c r="J170" s="123"/>
      <c r="K170" s="123"/>
      <c r="L170" s="123"/>
      <c r="M170" s="124"/>
      <c r="N170" s="121"/>
      <c r="O170" s="122"/>
      <c r="P170" s="122"/>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row>
    <row r="171" spans="2:50" x14ac:dyDescent="0.2">
      <c r="B171" s="3"/>
      <c r="C171" s="3"/>
      <c r="D171" s="118" t="s">
        <v>167</v>
      </c>
      <c r="E171" s="118"/>
      <c r="F171" s="118" t="s">
        <v>399</v>
      </c>
      <c r="G171" s="118">
        <f t="shared" si="21"/>
        <v>1.07</v>
      </c>
      <c r="H171" s="15"/>
      <c r="I171" s="15"/>
      <c r="J171" s="123"/>
      <c r="K171" s="123"/>
      <c r="L171" s="123"/>
      <c r="M171" s="124"/>
      <c r="N171" s="121"/>
      <c r="O171" s="122"/>
      <c r="P171" s="122"/>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row>
    <row r="172" spans="2:50" x14ac:dyDescent="0.2">
      <c r="B172" s="3"/>
      <c r="C172" s="3"/>
      <c r="D172" s="118" t="s">
        <v>168</v>
      </c>
      <c r="E172" s="118"/>
      <c r="F172" s="118" t="s">
        <v>388</v>
      </c>
      <c r="G172" s="118">
        <f t="shared" si="21"/>
        <v>0.92</v>
      </c>
      <c r="H172" s="15"/>
      <c r="I172" s="15"/>
      <c r="J172" s="123"/>
      <c r="K172" s="123"/>
      <c r="L172" s="123"/>
      <c r="M172" s="124"/>
      <c r="N172" s="121"/>
      <c r="O172" s="122"/>
      <c r="P172" s="122"/>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row>
    <row r="173" spans="2:50" x14ac:dyDescent="0.2">
      <c r="B173" s="3"/>
      <c r="C173" s="3"/>
      <c r="D173" s="118" t="s">
        <v>169</v>
      </c>
      <c r="E173" s="118"/>
      <c r="F173" s="118" t="s">
        <v>418</v>
      </c>
      <c r="G173" s="118">
        <f t="shared" si="21"/>
        <v>1.1100000000000001</v>
      </c>
      <c r="H173" s="15"/>
      <c r="I173" s="15"/>
      <c r="J173" s="123"/>
      <c r="K173" s="123"/>
      <c r="L173" s="123"/>
      <c r="M173" s="124"/>
      <c r="N173" s="121"/>
      <c r="O173" s="122"/>
      <c r="P173" s="122"/>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row>
    <row r="174" spans="2:50" x14ac:dyDescent="0.2">
      <c r="B174" s="3"/>
      <c r="C174" s="3"/>
      <c r="D174" s="118" t="s">
        <v>170</v>
      </c>
      <c r="E174" s="118"/>
      <c r="F174" s="118" t="s">
        <v>434</v>
      </c>
      <c r="G174" s="118">
        <f t="shared" si="21"/>
        <v>0.91</v>
      </c>
      <c r="H174" s="15"/>
      <c r="I174" s="15"/>
      <c r="J174" s="123"/>
      <c r="K174" s="123"/>
      <c r="L174" s="123"/>
      <c r="M174" s="124"/>
      <c r="N174" s="121"/>
      <c r="O174" s="122"/>
      <c r="P174" s="122"/>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row>
    <row r="175" spans="2:50" x14ac:dyDescent="0.2">
      <c r="B175" s="3"/>
      <c r="C175" s="3"/>
      <c r="D175" s="118" t="s">
        <v>171</v>
      </c>
      <c r="E175" s="118"/>
      <c r="F175" s="118" t="s">
        <v>454</v>
      </c>
      <c r="G175" s="118">
        <f t="shared" si="21"/>
        <v>1.1599999999999999</v>
      </c>
      <c r="H175" s="15"/>
      <c r="I175" s="15"/>
      <c r="J175" s="123"/>
      <c r="K175" s="123"/>
      <c r="L175" s="123"/>
      <c r="M175" s="124"/>
      <c r="N175" s="121"/>
      <c r="O175" s="122"/>
      <c r="P175" s="122"/>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row>
    <row r="176" spans="2:50" x14ac:dyDescent="0.2">
      <c r="B176" s="3"/>
      <c r="C176" s="3"/>
      <c r="D176" s="118" t="s">
        <v>172</v>
      </c>
      <c r="E176" s="118"/>
      <c r="F176" s="118" t="s">
        <v>419</v>
      </c>
      <c r="G176" s="118">
        <f t="shared" si="21"/>
        <v>1.1100000000000001</v>
      </c>
      <c r="H176" s="15"/>
      <c r="I176" s="15"/>
      <c r="J176" s="123"/>
      <c r="K176" s="123"/>
      <c r="L176" s="123"/>
      <c r="M176" s="124"/>
      <c r="N176" s="121"/>
      <c r="O176" s="122"/>
      <c r="P176" s="122"/>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row>
    <row r="177" spans="2:50" x14ac:dyDescent="0.2">
      <c r="B177" s="3"/>
      <c r="C177" s="3"/>
      <c r="D177" s="118" t="s">
        <v>173</v>
      </c>
      <c r="E177" s="118"/>
      <c r="F177" s="118" t="s">
        <v>400</v>
      </c>
      <c r="G177" s="118">
        <f t="shared" si="21"/>
        <v>0.97</v>
      </c>
      <c r="H177" s="15"/>
      <c r="I177" s="15"/>
      <c r="J177" s="123"/>
      <c r="K177" s="123"/>
      <c r="L177" s="123"/>
      <c r="M177" s="124"/>
      <c r="N177" s="121"/>
      <c r="O177" s="122"/>
      <c r="P177" s="122"/>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row>
    <row r="178" spans="2:50" x14ac:dyDescent="0.2">
      <c r="B178" s="3"/>
      <c r="C178" s="3"/>
      <c r="D178" s="118" t="s">
        <v>174</v>
      </c>
      <c r="E178" s="118"/>
      <c r="F178" s="118" t="s">
        <v>384</v>
      </c>
      <c r="G178" s="118">
        <f t="shared" si="21"/>
        <v>1</v>
      </c>
      <c r="H178" s="15"/>
      <c r="I178" s="15"/>
      <c r="J178" s="123"/>
      <c r="K178" s="123"/>
      <c r="L178" s="123"/>
      <c r="M178" s="124"/>
      <c r="N178" s="121"/>
      <c r="O178" s="122"/>
      <c r="P178" s="122"/>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row>
    <row r="179" spans="2:50" x14ac:dyDescent="0.2">
      <c r="B179" s="3"/>
      <c r="C179" s="3"/>
      <c r="D179" s="118" t="s">
        <v>175</v>
      </c>
      <c r="E179" s="118"/>
      <c r="F179" s="118" t="s">
        <v>402</v>
      </c>
      <c r="G179" s="118">
        <f t="shared" si="21"/>
        <v>0.97</v>
      </c>
      <c r="H179" s="15"/>
      <c r="I179" s="15"/>
      <c r="J179" s="123"/>
      <c r="K179" s="123"/>
      <c r="L179" s="123"/>
      <c r="M179" s="124"/>
      <c r="N179" s="121"/>
      <c r="O179" s="122"/>
      <c r="P179" s="122"/>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row>
    <row r="180" spans="2:50" x14ac:dyDescent="0.2">
      <c r="B180" s="3"/>
      <c r="C180" s="3"/>
      <c r="D180" s="118" t="s">
        <v>176</v>
      </c>
      <c r="E180" s="118"/>
      <c r="F180" s="118" t="s">
        <v>448</v>
      </c>
      <c r="G180" s="118">
        <f t="shared" si="21"/>
        <v>0.98</v>
      </c>
      <c r="H180" s="15"/>
      <c r="I180" s="15"/>
      <c r="J180" s="123"/>
      <c r="K180" s="123"/>
      <c r="L180" s="123"/>
      <c r="M180" s="124"/>
      <c r="N180" s="121"/>
      <c r="O180" s="122"/>
      <c r="P180" s="122"/>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row>
    <row r="181" spans="2:50" x14ac:dyDescent="0.2">
      <c r="B181" s="3"/>
      <c r="C181" s="3"/>
      <c r="D181" s="118" t="s">
        <v>177</v>
      </c>
      <c r="E181" s="118"/>
      <c r="F181" s="118" t="s">
        <v>397</v>
      </c>
      <c r="G181" s="118">
        <f t="shared" si="21"/>
        <v>1.1299999999999999</v>
      </c>
      <c r="H181" s="15"/>
      <c r="I181" s="15"/>
      <c r="J181" s="123"/>
      <c r="K181" s="123"/>
      <c r="L181" s="123"/>
      <c r="M181" s="124"/>
      <c r="N181" s="121"/>
      <c r="O181" s="122"/>
      <c r="P181" s="122"/>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row>
    <row r="182" spans="2:50" x14ac:dyDescent="0.2">
      <c r="B182" s="3"/>
      <c r="C182" s="3"/>
      <c r="D182" s="118" t="s">
        <v>178</v>
      </c>
      <c r="E182" s="118"/>
      <c r="F182" s="118" t="s">
        <v>102</v>
      </c>
      <c r="G182" s="118">
        <f t="shared" si="21"/>
        <v>1.01</v>
      </c>
      <c r="H182" s="15"/>
      <c r="I182" s="15"/>
      <c r="J182" s="123"/>
      <c r="K182" s="123"/>
      <c r="L182" s="123"/>
      <c r="M182" s="124"/>
      <c r="N182" s="121"/>
      <c r="O182" s="122"/>
      <c r="P182" s="122"/>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row>
    <row r="183" spans="2:50" x14ac:dyDescent="0.2">
      <c r="B183" s="3"/>
      <c r="C183" s="3"/>
      <c r="D183" s="118" t="s">
        <v>179</v>
      </c>
      <c r="E183" s="118"/>
      <c r="F183" s="118" t="s">
        <v>420</v>
      </c>
      <c r="G183" s="118">
        <f t="shared" si="21"/>
        <v>1.23</v>
      </c>
      <c r="H183" s="15"/>
      <c r="I183" s="15"/>
      <c r="J183" s="123"/>
      <c r="K183" s="123"/>
      <c r="L183" s="123"/>
      <c r="M183" s="124"/>
      <c r="N183" s="121"/>
      <c r="O183" s="122"/>
      <c r="P183" s="122"/>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row>
    <row r="184" spans="2:50" x14ac:dyDescent="0.2">
      <c r="B184" s="3"/>
      <c r="C184" s="3"/>
      <c r="D184" s="118" t="s">
        <v>180</v>
      </c>
      <c r="E184" s="118"/>
      <c r="F184" s="118" t="s">
        <v>421</v>
      </c>
      <c r="G184" s="118">
        <f t="shared" si="21"/>
        <v>1.29</v>
      </c>
      <c r="H184" s="15"/>
      <c r="I184" s="15"/>
      <c r="J184" s="123"/>
      <c r="K184" s="123"/>
      <c r="L184" s="123"/>
      <c r="M184" s="124"/>
      <c r="N184" s="121"/>
      <c r="O184" s="122"/>
      <c r="P184" s="122"/>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row>
    <row r="185" spans="2:50" x14ac:dyDescent="0.2">
      <c r="B185" s="3"/>
      <c r="C185" s="3"/>
      <c r="D185" s="118" t="s">
        <v>181</v>
      </c>
      <c r="E185" s="118"/>
      <c r="F185" s="118" t="s">
        <v>440</v>
      </c>
      <c r="G185" s="118">
        <f t="shared" si="21"/>
        <v>0.96</v>
      </c>
      <c r="H185" s="15"/>
      <c r="I185" s="15"/>
      <c r="J185" s="123"/>
      <c r="K185" s="123"/>
      <c r="L185" s="123"/>
      <c r="M185" s="124"/>
      <c r="N185" s="121"/>
      <c r="O185" s="122"/>
      <c r="P185" s="122"/>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row>
    <row r="186" spans="2:50" x14ac:dyDescent="0.2">
      <c r="B186" s="3"/>
      <c r="C186" s="3"/>
      <c r="D186" s="118" t="s">
        <v>182</v>
      </c>
      <c r="E186" s="118"/>
      <c r="F186" s="118" t="s">
        <v>438</v>
      </c>
      <c r="G186" s="118">
        <f t="shared" si="21"/>
        <v>0.96</v>
      </c>
      <c r="H186" s="15"/>
      <c r="I186" s="15"/>
      <c r="J186" s="123"/>
      <c r="K186" s="123"/>
      <c r="L186" s="123"/>
      <c r="M186" s="124"/>
      <c r="N186" s="121"/>
      <c r="O186" s="122"/>
      <c r="P186" s="122"/>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row>
    <row r="187" spans="2:50" x14ac:dyDescent="0.2">
      <c r="B187" s="3"/>
      <c r="C187" s="3"/>
      <c r="D187" s="118" t="s">
        <v>183</v>
      </c>
      <c r="E187" s="118"/>
      <c r="F187" s="118" t="s">
        <v>422</v>
      </c>
      <c r="G187" s="118">
        <f t="shared" si="21"/>
        <v>1.2</v>
      </c>
      <c r="H187" s="15"/>
      <c r="I187" s="15"/>
      <c r="J187" s="123"/>
      <c r="K187" s="123"/>
      <c r="L187" s="123"/>
      <c r="M187" s="124"/>
      <c r="N187" s="121"/>
      <c r="O187" s="122"/>
      <c r="P187" s="122"/>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row>
    <row r="188" spans="2:50" x14ac:dyDescent="0.2">
      <c r="B188" s="3"/>
      <c r="C188" s="3"/>
      <c r="D188" s="118" t="s">
        <v>184</v>
      </c>
      <c r="E188" s="118"/>
      <c r="F188" s="118" t="s">
        <v>455</v>
      </c>
      <c r="G188" s="118">
        <f t="shared" si="21"/>
        <v>0.96</v>
      </c>
      <c r="H188" s="15"/>
      <c r="I188" s="15"/>
      <c r="J188" s="123"/>
      <c r="K188" s="123"/>
      <c r="L188" s="123"/>
      <c r="M188" s="124"/>
      <c r="N188" s="121"/>
      <c r="O188" s="122"/>
      <c r="P188" s="122"/>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row>
    <row r="189" spans="2:50" x14ac:dyDescent="0.2">
      <c r="B189" s="3"/>
      <c r="C189" s="3"/>
      <c r="D189" s="118" t="s">
        <v>185</v>
      </c>
      <c r="E189" s="118"/>
      <c r="F189" s="118" t="s">
        <v>436</v>
      </c>
      <c r="G189" s="118">
        <f t="shared" si="21"/>
        <v>0.97</v>
      </c>
      <c r="H189" s="15"/>
      <c r="I189" s="15"/>
      <c r="J189" s="123"/>
      <c r="K189" s="123"/>
      <c r="L189" s="123"/>
      <c r="M189" s="124"/>
      <c r="N189" s="121"/>
      <c r="O189" s="122"/>
      <c r="P189" s="122"/>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row>
    <row r="190" spans="2:50" x14ac:dyDescent="0.2">
      <c r="B190" s="3"/>
      <c r="C190" s="3"/>
      <c r="D190" s="118" t="s">
        <v>186</v>
      </c>
      <c r="E190" s="118"/>
      <c r="F190" s="118" t="s">
        <v>387</v>
      </c>
      <c r="G190" s="118">
        <f t="shared" si="21"/>
        <v>0.99</v>
      </c>
      <c r="H190" s="15"/>
      <c r="I190" s="15"/>
      <c r="J190" s="123"/>
      <c r="K190" s="123"/>
      <c r="L190" s="123"/>
      <c r="M190" s="124"/>
      <c r="N190" s="121"/>
      <c r="O190" s="122"/>
      <c r="P190" s="122"/>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row>
    <row r="191" spans="2:50" x14ac:dyDescent="0.2">
      <c r="B191" s="3"/>
      <c r="C191" s="3"/>
      <c r="D191" s="118" t="s">
        <v>187</v>
      </c>
      <c r="E191" s="118"/>
      <c r="F191" s="118" t="s">
        <v>423</v>
      </c>
      <c r="G191" s="118">
        <f t="shared" si="21"/>
        <v>1.23</v>
      </c>
      <c r="H191" s="15"/>
      <c r="I191" s="15"/>
      <c r="J191" s="123"/>
      <c r="K191" s="123"/>
      <c r="L191" s="123"/>
      <c r="M191" s="124"/>
      <c r="N191" s="121"/>
      <c r="O191" s="122"/>
      <c r="P191" s="122"/>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row>
    <row r="192" spans="2:50" x14ac:dyDescent="0.2">
      <c r="B192" s="3"/>
      <c r="C192" s="3"/>
      <c r="D192" s="118" t="s">
        <v>188</v>
      </c>
      <c r="E192" s="118"/>
      <c r="F192" s="118" t="s">
        <v>402</v>
      </c>
      <c r="G192" s="118">
        <f t="shared" si="21"/>
        <v>0.97</v>
      </c>
      <c r="H192" s="15"/>
      <c r="I192" s="15"/>
      <c r="J192" s="123"/>
      <c r="K192" s="123"/>
      <c r="L192" s="123"/>
      <c r="M192" s="124"/>
      <c r="N192" s="121"/>
      <c r="O192" s="122"/>
      <c r="P192" s="122"/>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row>
    <row r="193" spans="2:50" x14ac:dyDescent="0.2">
      <c r="B193" s="3"/>
      <c r="C193" s="3"/>
      <c r="D193" s="118" t="s">
        <v>189</v>
      </c>
      <c r="E193" s="118"/>
      <c r="F193" s="118" t="s">
        <v>455</v>
      </c>
      <c r="G193" s="118">
        <f t="shared" si="21"/>
        <v>0.96</v>
      </c>
      <c r="H193" s="15"/>
      <c r="I193" s="15"/>
      <c r="J193" s="123"/>
      <c r="K193" s="123"/>
      <c r="L193" s="123"/>
      <c r="M193" s="124"/>
      <c r="N193" s="121"/>
      <c r="O193" s="122"/>
      <c r="P193" s="122"/>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row>
    <row r="194" spans="2:50" x14ac:dyDescent="0.2">
      <c r="B194" s="3"/>
      <c r="C194" s="3"/>
      <c r="D194" s="118" t="s">
        <v>190</v>
      </c>
      <c r="E194" s="118"/>
      <c r="F194" s="118" t="s">
        <v>434</v>
      </c>
      <c r="G194" s="118">
        <f t="shared" si="21"/>
        <v>0.91</v>
      </c>
      <c r="H194" s="15"/>
      <c r="I194" s="15"/>
      <c r="J194" s="123"/>
      <c r="K194" s="123"/>
      <c r="L194" s="123"/>
      <c r="M194" s="124"/>
      <c r="N194" s="121"/>
      <c r="O194" s="122"/>
      <c r="P194" s="122"/>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row>
    <row r="195" spans="2:50" x14ac:dyDescent="0.2">
      <c r="B195" s="3"/>
      <c r="C195" s="3"/>
      <c r="D195" s="118" t="s">
        <v>191</v>
      </c>
      <c r="E195" s="118"/>
      <c r="F195" s="118" t="s">
        <v>392</v>
      </c>
      <c r="G195" s="118">
        <f t="shared" si="21"/>
        <v>1.17</v>
      </c>
      <c r="H195" s="15"/>
      <c r="I195" s="15"/>
      <c r="J195" s="123"/>
      <c r="K195" s="123"/>
      <c r="L195" s="123"/>
      <c r="M195" s="124"/>
      <c r="N195" s="121"/>
      <c r="O195" s="122"/>
      <c r="P195" s="122"/>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row>
    <row r="196" spans="2:50" x14ac:dyDescent="0.2">
      <c r="B196" s="3"/>
      <c r="C196" s="3"/>
      <c r="D196" s="118" t="s">
        <v>192</v>
      </c>
      <c r="E196" s="118"/>
      <c r="F196" s="118" t="s">
        <v>424</v>
      </c>
      <c r="G196" s="118">
        <f t="shared" si="21"/>
        <v>1.1499999999999999</v>
      </c>
      <c r="H196" s="15"/>
      <c r="I196" s="15"/>
      <c r="J196" s="123"/>
      <c r="K196" s="123"/>
      <c r="L196" s="123"/>
      <c r="M196" s="124"/>
      <c r="N196" s="121"/>
      <c r="O196" s="122"/>
      <c r="P196" s="122"/>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row>
    <row r="197" spans="2:50" x14ac:dyDescent="0.2">
      <c r="B197" s="3"/>
      <c r="C197" s="3"/>
      <c r="D197" s="118" t="s">
        <v>193</v>
      </c>
      <c r="E197" s="118"/>
      <c r="F197" s="118" t="s">
        <v>447</v>
      </c>
      <c r="G197" s="118">
        <f t="shared" si="21"/>
        <v>0.99</v>
      </c>
      <c r="H197" s="15"/>
      <c r="I197" s="15"/>
      <c r="J197" s="123"/>
      <c r="K197" s="123"/>
      <c r="L197" s="123"/>
      <c r="M197" s="124"/>
      <c r="N197" s="121"/>
      <c r="O197" s="122"/>
      <c r="P197" s="122"/>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row>
    <row r="198" spans="2:50" x14ac:dyDescent="0.2">
      <c r="B198" s="3"/>
      <c r="C198" s="3"/>
      <c r="D198" s="118" t="s">
        <v>194</v>
      </c>
      <c r="E198" s="118"/>
      <c r="F198" s="118" t="s">
        <v>435</v>
      </c>
      <c r="G198" s="118">
        <f t="shared" si="21"/>
        <v>0.91</v>
      </c>
      <c r="H198" s="15"/>
      <c r="I198" s="15"/>
      <c r="J198" s="123"/>
      <c r="K198" s="123"/>
      <c r="L198" s="123"/>
      <c r="M198" s="124"/>
      <c r="N198" s="121"/>
      <c r="O198" s="122"/>
      <c r="P198" s="122"/>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row>
    <row r="199" spans="2:50" x14ac:dyDescent="0.2">
      <c r="B199" s="3"/>
      <c r="C199" s="3"/>
      <c r="D199" s="118" t="s">
        <v>195</v>
      </c>
      <c r="E199" s="118"/>
      <c r="F199" s="118" t="s">
        <v>436</v>
      </c>
      <c r="G199" s="118">
        <f t="shared" si="21"/>
        <v>0.97</v>
      </c>
      <c r="H199" s="15"/>
      <c r="I199" s="15"/>
      <c r="J199" s="123"/>
      <c r="K199" s="123"/>
      <c r="L199" s="123"/>
      <c r="M199" s="124"/>
      <c r="N199" s="121"/>
      <c r="O199" s="122"/>
      <c r="P199" s="122"/>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row>
    <row r="200" spans="2:50" x14ac:dyDescent="0.2">
      <c r="B200" s="3"/>
      <c r="C200" s="3"/>
      <c r="D200" s="118" t="s">
        <v>196</v>
      </c>
      <c r="E200" s="118"/>
      <c r="F200" s="118" t="s">
        <v>381</v>
      </c>
      <c r="G200" s="118">
        <f t="shared" si="21"/>
        <v>1.04</v>
      </c>
      <c r="H200" s="15"/>
      <c r="I200" s="15"/>
      <c r="J200" s="123"/>
      <c r="K200" s="123"/>
      <c r="L200" s="123"/>
      <c r="M200" s="124"/>
      <c r="N200" s="121"/>
      <c r="O200" s="122"/>
      <c r="P200" s="122"/>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row>
    <row r="201" spans="2:50" x14ac:dyDescent="0.2">
      <c r="B201" s="3"/>
      <c r="C201" s="3"/>
      <c r="D201" s="118" t="s">
        <v>197</v>
      </c>
      <c r="E201" s="118"/>
      <c r="F201" s="118" t="s">
        <v>401</v>
      </c>
      <c r="G201" s="118">
        <f t="shared" si="21"/>
        <v>1.17</v>
      </c>
      <c r="H201" s="15"/>
      <c r="I201" s="15"/>
      <c r="J201" s="123"/>
      <c r="K201" s="123"/>
      <c r="L201" s="123"/>
      <c r="M201" s="124"/>
      <c r="N201" s="121"/>
      <c r="O201" s="122"/>
      <c r="P201" s="122"/>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row>
    <row r="202" spans="2:50" x14ac:dyDescent="0.2">
      <c r="B202" s="3"/>
      <c r="C202" s="3"/>
      <c r="D202" s="118" t="s">
        <v>198</v>
      </c>
      <c r="E202" s="118"/>
      <c r="F202" s="118" t="s">
        <v>394</v>
      </c>
      <c r="G202" s="118">
        <f t="shared" si="21"/>
        <v>1.04</v>
      </c>
      <c r="H202" s="15"/>
      <c r="I202" s="15"/>
      <c r="J202" s="123"/>
      <c r="K202" s="123"/>
      <c r="L202" s="123"/>
      <c r="M202" s="124"/>
      <c r="N202" s="121"/>
      <c r="O202" s="122"/>
      <c r="P202" s="122"/>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row>
    <row r="203" spans="2:50" x14ac:dyDescent="0.2">
      <c r="B203" s="3"/>
      <c r="C203" s="3"/>
      <c r="D203" s="118" t="s">
        <v>199</v>
      </c>
      <c r="E203" s="118"/>
      <c r="F203" s="120" t="s">
        <v>398</v>
      </c>
      <c r="G203" s="118">
        <f t="shared" si="21"/>
        <v>1.02</v>
      </c>
      <c r="H203" s="15"/>
      <c r="I203" s="15"/>
      <c r="J203" s="123"/>
      <c r="K203" s="123"/>
      <c r="L203" s="123"/>
      <c r="M203" s="124"/>
      <c r="N203" s="121"/>
      <c r="O203" s="122"/>
      <c r="P203" s="122"/>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row>
    <row r="204" spans="2:50" x14ac:dyDescent="0.2">
      <c r="B204" s="3"/>
      <c r="C204" s="3"/>
      <c r="D204" s="118" t="s">
        <v>200</v>
      </c>
      <c r="E204" s="118"/>
      <c r="F204" s="118" t="s">
        <v>396</v>
      </c>
      <c r="G204" s="118">
        <f t="shared" si="21"/>
        <v>0.97</v>
      </c>
      <c r="H204" s="15"/>
      <c r="I204" s="15"/>
      <c r="J204" s="123"/>
      <c r="K204" s="123"/>
      <c r="L204" s="123"/>
      <c r="M204" s="124"/>
      <c r="N204" s="121"/>
      <c r="O204" s="122"/>
      <c r="P204" s="122"/>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row>
    <row r="205" spans="2:50" x14ac:dyDescent="0.2">
      <c r="B205" s="3"/>
      <c r="C205" s="3"/>
      <c r="D205" s="118" t="s">
        <v>201</v>
      </c>
      <c r="E205" s="118"/>
      <c r="F205" s="118" t="s">
        <v>442</v>
      </c>
      <c r="G205" s="118">
        <f t="shared" si="21"/>
        <v>0.91</v>
      </c>
      <c r="H205" s="15"/>
      <c r="I205" s="15"/>
      <c r="J205" s="123"/>
      <c r="K205" s="123"/>
      <c r="L205" s="123"/>
      <c r="M205" s="124"/>
      <c r="N205" s="121"/>
      <c r="O205" s="122"/>
      <c r="P205" s="122"/>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row>
    <row r="206" spans="2:50" x14ac:dyDescent="0.2">
      <c r="B206" s="3"/>
      <c r="C206" s="3"/>
      <c r="D206" s="118" t="s">
        <v>202</v>
      </c>
      <c r="E206" s="118"/>
      <c r="F206" s="118" t="s">
        <v>401</v>
      </c>
      <c r="G206" s="118">
        <f t="shared" si="21"/>
        <v>1.17</v>
      </c>
      <c r="H206" s="15"/>
      <c r="I206" s="15"/>
      <c r="J206" s="123"/>
      <c r="K206" s="123"/>
      <c r="L206" s="123"/>
      <c r="M206" s="124"/>
      <c r="N206" s="121"/>
      <c r="O206" s="122"/>
      <c r="P206" s="122"/>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row>
    <row r="207" spans="2:50" x14ac:dyDescent="0.2">
      <c r="B207" s="3"/>
      <c r="C207" s="3"/>
      <c r="D207" s="118" t="s">
        <v>203</v>
      </c>
      <c r="E207" s="118"/>
      <c r="F207" s="118" t="s">
        <v>434</v>
      </c>
      <c r="G207" s="118">
        <f t="shared" si="21"/>
        <v>0.91</v>
      </c>
      <c r="H207" s="15"/>
      <c r="I207" s="15"/>
      <c r="J207" s="123"/>
      <c r="K207" s="123"/>
      <c r="L207" s="123"/>
      <c r="M207" s="124"/>
      <c r="N207" s="121"/>
      <c r="O207" s="122"/>
      <c r="P207" s="122"/>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row>
    <row r="208" spans="2:50" x14ac:dyDescent="0.2">
      <c r="B208" s="3"/>
      <c r="C208" s="3"/>
      <c r="D208" s="118" t="s">
        <v>204</v>
      </c>
      <c r="E208" s="118"/>
      <c r="F208" s="118" t="s">
        <v>445</v>
      </c>
      <c r="G208" s="118">
        <f t="shared" si="21"/>
        <v>0.98</v>
      </c>
      <c r="H208" s="15"/>
      <c r="I208" s="15"/>
      <c r="J208" s="123"/>
      <c r="K208" s="123"/>
      <c r="L208" s="123"/>
      <c r="M208" s="124"/>
      <c r="N208" s="121"/>
      <c r="O208" s="122"/>
      <c r="P208" s="122"/>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row>
    <row r="209" spans="2:50" x14ac:dyDescent="0.2">
      <c r="B209" s="3"/>
      <c r="C209" s="3"/>
      <c r="D209" s="118" t="s">
        <v>205</v>
      </c>
      <c r="E209" s="118"/>
      <c r="F209" s="118" t="s">
        <v>425</v>
      </c>
      <c r="G209" s="118">
        <f t="shared" si="21"/>
        <v>1.19</v>
      </c>
      <c r="H209" s="15"/>
      <c r="I209" s="15"/>
      <c r="J209" s="123"/>
      <c r="K209" s="123"/>
      <c r="L209" s="123"/>
      <c r="M209" s="124"/>
      <c r="N209" s="121"/>
      <c r="O209" s="122"/>
      <c r="P209" s="122"/>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row>
    <row r="210" spans="2:50" x14ac:dyDescent="0.2">
      <c r="B210" s="3"/>
      <c r="C210" s="3"/>
      <c r="D210" s="118" t="s">
        <v>206</v>
      </c>
      <c r="E210" s="118"/>
      <c r="F210" s="118" t="s">
        <v>389</v>
      </c>
      <c r="G210" s="118">
        <f t="shared" si="21"/>
        <v>1</v>
      </c>
      <c r="H210" s="15"/>
      <c r="I210" s="15"/>
      <c r="J210" s="123"/>
      <c r="K210" s="123"/>
      <c r="L210" s="123"/>
      <c r="M210" s="124"/>
      <c r="N210" s="121"/>
      <c r="O210" s="122"/>
      <c r="P210" s="122"/>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row>
    <row r="211" spans="2:50" x14ac:dyDescent="0.2">
      <c r="B211" s="3"/>
      <c r="C211" s="3"/>
      <c r="D211" s="118" t="s">
        <v>207</v>
      </c>
      <c r="E211" s="118"/>
      <c r="F211" s="118" t="s">
        <v>448</v>
      </c>
      <c r="G211" s="118">
        <f t="shared" si="21"/>
        <v>0.98</v>
      </c>
      <c r="H211" s="15"/>
      <c r="I211" s="15"/>
      <c r="J211" s="123"/>
      <c r="K211" s="123"/>
      <c r="L211" s="123"/>
      <c r="M211" s="124"/>
      <c r="N211" s="121"/>
      <c r="O211" s="122"/>
      <c r="P211" s="122"/>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row>
    <row r="212" spans="2:50" x14ac:dyDescent="0.2">
      <c r="B212" s="3"/>
      <c r="C212" s="3"/>
      <c r="D212" s="118" t="s">
        <v>208</v>
      </c>
      <c r="E212" s="118"/>
      <c r="F212" s="118" t="s">
        <v>454</v>
      </c>
      <c r="G212" s="118">
        <f t="shared" si="21"/>
        <v>1.1599999999999999</v>
      </c>
      <c r="H212" s="15"/>
      <c r="I212" s="15"/>
      <c r="J212" s="123"/>
      <c r="K212" s="123"/>
      <c r="L212" s="123"/>
      <c r="M212" s="124"/>
      <c r="N212" s="121"/>
      <c r="O212" s="122"/>
      <c r="P212" s="122"/>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row>
    <row r="213" spans="2:50" x14ac:dyDescent="0.2">
      <c r="B213" s="3"/>
      <c r="C213" s="3"/>
      <c r="D213" s="118" t="s">
        <v>209</v>
      </c>
      <c r="E213" s="118"/>
      <c r="F213" s="118" t="s">
        <v>439</v>
      </c>
      <c r="G213" s="118">
        <f>LOOKUP(F213,$J$41:$J$121,$L$41:$L$121)</f>
        <v>1.03</v>
      </c>
      <c r="H213" s="15"/>
      <c r="I213" s="15"/>
      <c r="J213" s="123"/>
      <c r="K213" s="123"/>
      <c r="L213" s="123"/>
      <c r="M213" s="124"/>
      <c r="N213" s="121"/>
      <c r="O213" s="122"/>
      <c r="P213" s="122"/>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row>
    <row r="214" spans="2:50" x14ac:dyDescent="0.2">
      <c r="B214" s="3"/>
      <c r="C214" s="3"/>
      <c r="D214" s="118" t="s">
        <v>210</v>
      </c>
      <c r="E214" s="118"/>
      <c r="F214" s="118" t="s">
        <v>383</v>
      </c>
      <c r="G214" s="118">
        <f t="shared" si="21"/>
        <v>1.1399999999999999</v>
      </c>
      <c r="H214" s="15"/>
      <c r="I214" s="15"/>
      <c r="J214" s="123"/>
      <c r="K214" s="123"/>
      <c r="L214" s="123"/>
      <c r="M214" s="124"/>
      <c r="N214" s="121"/>
      <c r="O214" s="122"/>
      <c r="P214" s="122"/>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row>
    <row r="215" spans="2:50" x14ac:dyDescent="0.2">
      <c r="B215" s="3"/>
      <c r="C215" s="3"/>
      <c r="D215" s="118" t="s">
        <v>211</v>
      </c>
      <c r="E215" s="118"/>
      <c r="F215" s="118" t="s">
        <v>449</v>
      </c>
      <c r="G215" s="118">
        <f t="shared" si="21"/>
        <v>1.22</v>
      </c>
      <c r="H215" s="15"/>
      <c r="I215" s="15"/>
      <c r="J215" s="123"/>
      <c r="K215" s="123"/>
      <c r="L215" s="123"/>
      <c r="M215" s="124"/>
      <c r="N215" s="121"/>
      <c r="O215" s="122"/>
      <c r="P215" s="122"/>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row>
    <row r="216" spans="2:50" x14ac:dyDescent="0.2">
      <c r="B216" s="3"/>
      <c r="C216" s="3"/>
      <c r="D216" s="118" t="s">
        <v>212</v>
      </c>
      <c r="E216" s="118"/>
      <c r="F216" s="118" t="s">
        <v>397</v>
      </c>
      <c r="G216" s="118">
        <f t="shared" si="21"/>
        <v>1.1299999999999999</v>
      </c>
      <c r="H216" s="15"/>
      <c r="I216" s="15"/>
      <c r="J216" s="123"/>
      <c r="K216" s="123"/>
      <c r="L216" s="123"/>
      <c r="M216" s="124"/>
      <c r="N216" s="121"/>
      <c r="O216" s="122"/>
      <c r="P216" s="122"/>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row>
    <row r="217" spans="2:50" x14ac:dyDescent="0.2">
      <c r="B217" s="3"/>
      <c r="C217" s="3"/>
      <c r="D217" s="118" t="s">
        <v>213</v>
      </c>
      <c r="E217" s="118"/>
      <c r="F217" s="118" t="s">
        <v>397</v>
      </c>
      <c r="G217" s="118">
        <f t="shared" si="21"/>
        <v>1.1299999999999999</v>
      </c>
      <c r="H217" s="15"/>
      <c r="I217" s="15"/>
      <c r="J217" s="123"/>
      <c r="K217" s="123"/>
      <c r="L217" s="123"/>
      <c r="M217" s="124"/>
      <c r="N217" s="121"/>
      <c r="O217" s="122"/>
      <c r="P217" s="122"/>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row>
    <row r="218" spans="2:50" x14ac:dyDescent="0.2">
      <c r="B218" s="3"/>
      <c r="C218" s="3"/>
      <c r="D218" s="118" t="s">
        <v>214</v>
      </c>
      <c r="E218" s="118"/>
      <c r="F218" s="118" t="s">
        <v>442</v>
      </c>
      <c r="G218" s="118">
        <f t="shared" si="21"/>
        <v>0.91</v>
      </c>
      <c r="H218" s="15"/>
      <c r="I218" s="15"/>
      <c r="J218" s="123"/>
      <c r="K218" s="123"/>
      <c r="L218" s="123"/>
      <c r="M218" s="124"/>
      <c r="N218" s="121"/>
      <c r="O218" s="122"/>
      <c r="P218" s="122"/>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row>
    <row r="219" spans="2:50" x14ac:dyDescent="0.2">
      <c r="B219" s="3"/>
      <c r="C219" s="3"/>
      <c r="D219" s="118" t="s">
        <v>215</v>
      </c>
      <c r="E219" s="118"/>
      <c r="F219" s="118" t="s">
        <v>450</v>
      </c>
      <c r="G219" s="118">
        <f t="shared" si="21"/>
        <v>0.92</v>
      </c>
      <c r="H219" s="15"/>
      <c r="I219" s="15"/>
      <c r="J219" s="123"/>
      <c r="K219" s="123"/>
      <c r="L219" s="123"/>
      <c r="M219" s="124"/>
      <c r="N219" s="121"/>
      <c r="O219" s="122"/>
      <c r="P219" s="122"/>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row>
    <row r="220" spans="2:50" x14ac:dyDescent="0.2">
      <c r="B220" s="3"/>
      <c r="C220" s="3"/>
      <c r="D220" s="118" t="s">
        <v>216</v>
      </c>
      <c r="E220" s="118"/>
      <c r="F220" s="118" t="s">
        <v>447</v>
      </c>
      <c r="G220" s="118">
        <f t="shared" si="21"/>
        <v>0.99</v>
      </c>
      <c r="H220" s="15"/>
      <c r="I220" s="15"/>
      <c r="J220" s="123"/>
      <c r="K220" s="123"/>
      <c r="L220" s="123"/>
      <c r="M220" s="124"/>
      <c r="N220" s="121"/>
      <c r="O220" s="122"/>
      <c r="P220" s="122"/>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row>
    <row r="221" spans="2:50" x14ac:dyDescent="0.2">
      <c r="B221" s="3"/>
      <c r="C221" s="3"/>
      <c r="D221" s="118" t="s">
        <v>217</v>
      </c>
      <c r="E221" s="118"/>
      <c r="F221" s="118" t="s">
        <v>426</v>
      </c>
      <c r="G221" s="118">
        <f t="shared" si="21"/>
        <v>1.1299999999999999</v>
      </c>
      <c r="H221" s="15"/>
      <c r="I221" s="15"/>
      <c r="J221" s="123"/>
      <c r="K221" s="123"/>
      <c r="L221" s="123"/>
      <c r="M221" s="124"/>
      <c r="N221" s="121"/>
      <c r="O221" s="122"/>
      <c r="P221" s="122"/>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row>
    <row r="222" spans="2:50" x14ac:dyDescent="0.2">
      <c r="B222" s="3"/>
      <c r="C222" s="3"/>
      <c r="D222" s="118" t="s">
        <v>218</v>
      </c>
      <c r="E222" s="118"/>
      <c r="F222" s="118" t="s">
        <v>389</v>
      </c>
      <c r="G222" s="118">
        <f t="shared" si="21"/>
        <v>1</v>
      </c>
      <c r="H222" s="15"/>
      <c r="I222" s="15"/>
      <c r="J222" s="123"/>
      <c r="K222" s="123"/>
      <c r="L222" s="123"/>
      <c r="M222" s="124"/>
      <c r="N222" s="121"/>
      <c r="O222" s="122"/>
      <c r="P222" s="122"/>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row>
    <row r="223" spans="2:50" x14ac:dyDescent="0.2">
      <c r="B223" s="3"/>
      <c r="C223" s="3"/>
      <c r="D223" s="118" t="s">
        <v>219</v>
      </c>
      <c r="E223" s="118"/>
      <c r="F223" s="118" t="s">
        <v>390</v>
      </c>
      <c r="G223" s="118">
        <f>LOOKUP(F223,$J$41:$J$121,$L$41:$L$121)</f>
        <v>1.02</v>
      </c>
      <c r="H223" s="15"/>
      <c r="I223" s="15"/>
      <c r="J223" s="123"/>
      <c r="K223" s="123"/>
      <c r="L223" s="123"/>
      <c r="M223" s="124"/>
      <c r="N223" s="121"/>
      <c r="O223" s="122"/>
      <c r="P223" s="122"/>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row>
    <row r="224" spans="2:50" x14ac:dyDescent="0.2">
      <c r="B224" s="3"/>
      <c r="C224" s="3"/>
      <c r="D224" s="118" t="s">
        <v>220</v>
      </c>
      <c r="E224" s="118"/>
      <c r="F224" s="118" t="s">
        <v>388</v>
      </c>
      <c r="G224" s="118">
        <f t="shared" si="21"/>
        <v>0.92</v>
      </c>
      <c r="H224" s="15"/>
      <c r="I224" s="15"/>
      <c r="J224" s="123"/>
      <c r="K224" s="123"/>
      <c r="L224" s="123"/>
      <c r="M224" s="124"/>
      <c r="N224" s="121"/>
      <c r="O224" s="122"/>
      <c r="P224" s="122"/>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row>
    <row r="225" spans="2:50" x14ac:dyDescent="0.2">
      <c r="B225" s="3"/>
      <c r="C225" s="3"/>
      <c r="D225" s="118" t="s">
        <v>221</v>
      </c>
      <c r="E225" s="118"/>
      <c r="F225" s="118" t="s">
        <v>435</v>
      </c>
      <c r="G225" s="118">
        <f t="shared" si="21"/>
        <v>0.91</v>
      </c>
      <c r="H225" s="15"/>
      <c r="I225" s="15"/>
      <c r="J225" s="123"/>
      <c r="K225" s="123"/>
      <c r="L225" s="123"/>
      <c r="M225" s="124"/>
      <c r="N225" s="121"/>
      <c r="O225" s="122"/>
      <c r="P225" s="122"/>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row>
    <row r="226" spans="2:50" x14ac:dyDescent="0.2">
      <c r="B226" s="3"/>
      <c r="C226" s="3"/>
      <c r="D226" s="118" t="s">
        <v>222</v>
      </c>
      <c r="E226" s="118"/>
      <c r="F226" s="118" t="s">
        <v>399</v>
      </c>
      <c r="G226" s="118">
        <f t="shared" si="21"/>
        <v>1.07</v>
      </c>
      <c r="H226" s="15"/>
      <c r="I226" s="15"/>
      <c r="J226" s="123"/>
      <c r="K226" s="123"/>
      <c r="L226" s="123"/>
      <c r="M226" s="124"/>
      <c r="N226" s="121"/>
      <c r="O226" s="122"/>
      <c r="P226" s="122"/>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row>
    <row r="227" spans="2:50" x14ac:dyDescent="0.2">
      <c r="B227" s="3"/>
      <c r="C227" s="3"/>
      <c r="D227" s="118" t="s">
        <v>223</v>
      </c>
      <c r="E227" s="118"/>
      <c r="F227" s="118" t="s">
        <v>435</v>
      </c>
      <c r="G227" s="118">
        <f t="shared" si="21"/>
        <v>0.91</v>
      </c>
      <c r="H227" s="15"/>
      <c r="I227" s="15"/>
      <c r="J227" s="123"/>
      <c r="K227" s="123"/>
      <c r="L227" s="123"/>
      <c r="M227" s="124"/>
      <c r="N227" s="121"/>
      <c r="O227" s="122"/>
      <c r="P227" s="122"/>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row>
    <row r="228" spans="2:50" x14ac:dyDescent="0.2">
      <c r="B228" s="3"/>
      <c r="C228" s="3"/>
      <c r="D228" s="118" t="s">
        <v>224</v>
      </c>
      <c r="E228" s="118"/>
      <c r="F228" s="118" t="s">
        <v>435</v>
      </c>
      <c r="G228" s="118">
        <f t="shared" si="21"/>
        <v>0.91</v>
      </c>
      <c r="H228" s="15"/>
      <c r="I228" s="15"/>
      <c r="J228" s="123"/>
      <c r="K228" s="123"/>
      <c r="L228" s="123"/>
      <c r="M228" s="124"/>
      <c r="N228" s="121"/>
      <c r="O228" s="122"/>
      <c r="P228" s="122"/>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row>
    <row r="229" spans="2:50" x14ac:dyDescent="0.2">
      <c r="B229" s="3"/>
      <c r="C229" s="3"/>
      <c r="D229" s="118" t="s">
        <v>225</v>
      </c>
      <c r="E229" s="118"/>
      <c r="F229" s="118" t="s">
        <v>438</v>
      </c>
      <c r="G229" s="118">
        <f t="shared" si="21"/>
        <v>0.96</v>
      </c>
      <c r="H229" s="15"/>
      <c r="I229" s="15"/>
      <c r="J229" s="123"/>
      <c r="K229" s="123"/>
      <c r="L229" s="123"/>
      <c r="M229" s="124"/>
      <c r="N229" s="121"/>
      <c r="O229" s="122"/>
      <c r="P229" s="122"/>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row>
    <row r="230" spans="2:50" x14ac:dyDescent="0.2">
      <c r="B230" s="3"/>
      <c r="C230" s="3"/>
      <c r="D230" s="118" t="s">
        <v>226</v>
      </c>
      <c r="E230" s="118"/>
      <c r="F230" s="118" t="s">
        <v>445</v>
      </c>
      <c r="G230" s="118">
        <f t="shared" si="21"/>
        <v>0.98</v>
      </c>
      <c r="H230" s="15"/>
      <c r="I230" s="15"/>
      <c r="J230" s="123"/>
      <c r="K230" s="123"/>
      <c r="L230" s="123"/>
      <c r="M230" s="124"/>
      <c r="N230" s="121"/>
      <c r="O230" s="122"/>
      <c r="P230" s="122"/>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row>
    <row r="231" spans="2:50" x14ac:dyDescent="0.2">
      <c r="B231" s="3"/>
      <c r="C231" s="3"/>
      <c r="D231" s="118" t="s">
        <v>227</v>
      </c>
      <c r="E231" s="118"/>
      <c r="F231" s="118" t="s">
        <v>450</v>
      </c>
      <c r="G231" s="118">
        <f t="shared" si="21"/>
        <v>0.92</v>
      </c>
      <c r="H231" s="15"/>
      <c r="I231" s="15"/>
      <c r="J231" s="123"/>
      <c r="K231" s="123"/>
      <c r="L231" s="123"/>
      <c r="M231" s="124"/>
      <c r="N231" s="121"/>
      <c r="O231" s="122"/>
      <c r="P231" s="122"/>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row>
    <row r="232" spans="2:50" x14ac:dyDescent="0.2">
      <c r="B232" s="3"/>
      <c r="C232" s="3"/>
      <c r="D232" s="118" t="s">
        <v>228</v>
      </c>
      <c r="E232" s="118"/>
      <c r="F232" s="118" t="s">
        <v>452</v>
      </c>
      <c r="G232" s="118">
        <f t="shared" si="21"/>
        <v>1.04</v>
      </c>
      <c r="H232" s="15"/>
      <c r="I232" s="15"/>
      <c r="J232" s="123"/>
      <c r="K232" s="123"/>
      <c r="L232" s="123"/>
      <c r="M232" s="124"/>
      <c r="N232" s="121"/>
      <c r="O232" s="122"/>
      <c r="P232" s="122"/>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row>
    <row r="233" spans="2:50" x14ac:dyDescent="0.2">
      <c r="B233" s="3"/>
      <c r="C233" s="3"/>
      <c r="D233" s="118" t="s">
        <v>229</v>
      </c>
      <c r="E233" s="118"/>
      <c r="F233" s="118" t="s">
        <v>434</v>
      </c>
      <c r="G233" s="118">
        <f t="shared" ref="G233:G296" si="22">LOOKUP(F233,$J$41:$J$121,$L$41:$L$121)</f>
        <v>0.91</v>
      </c>
      <c r="H233" s="15"/>
      <c r="I233" s="15"/>
      <c r="J233" s="123"/>
      <c r="K233" s="123"/>
      <c r="L233" s="123"/>
      <c r="M233" s="124"/>
      <c r="N233" s="121"/>
      <c r="O233" s="122"/>
      <c r="P233" s="122"/>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row>
    <row r="234" spans="2:50" x14ac:dyDescent="0.2">
      <c r="B234" s="3"/>
      <c r="C234" s="3"/>
      <c r="D234" s="118" t="s">
        <v>230</v>
      </c>
      <c r="E234" s="118"/>
      <c r="F234" s="118" t="s">
        <v>439</v>
      </c>
      <c r="G234" s="118">
        <f t="shared" si="22"/>
        <v>1.03</v>
      </c>
      <c r="H234" s="15"/>
      <c r="I234" s="15"/>
      <c r="J234" s="123"/>
      <c r="K234" s="123"/>
      <c r="L234" s="123"/>
      <c r="M234" s="124"/>
      <c r="N234" s="121"/>
      <c r="O234" s="122"/>
      <c r="P234" s="122"/>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row>
    <row r="235" spans="2:50" x14ac:dyDescent="0.2">
      <c r="B235" s="3"/>
      <c r="C235" s="3"/>
      <c r="D235" s="118" t="s">
        <v>231</v>
      </c>
      <c r="E235" s="118"/>
      <c r="F235" s="118" t="s">
        <v>440</v>
      </c>
      <c r="G235" s="118">
        <f t="shared" si="22"/>
        <v>0.96</v>
      </c>
      <c r="H235" s="15"/>
      <c r="I235" s="15"/>
      <c r="J235" s="123"/>
      <c r="K235" s="123"/>
      <c r="L235" s="123"/>
      <c r="M235" s="124"/>
      <c r="N235" s="121"/>
      <c r="O235" s="122"/>
      <c r="P235" s="122"/>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row>
    <row r="236" spans="2:50" x14ac:dyDescent="0.2">
      <c r="B236" s="3"/>
      <c r="C236" s="3"/>
      <c r="D236" s="118" t="s">
        <v>232</v>
      </c>
      <c r="E236" s="118"/>
      <c r="F236" s="118" t="s">
        <v>441</v>
      </c>
      <c r="G236" s="118">
        <f>LOOKUP(F236,$J$41:$J$121,$L$41:$L$121)</f>
        <v>0.95</v>
      </c>
      <c r="H236" s="15"/>
      <c r="I236" s="15"/>
      <c r="J236" s="123"/>
      <c r="K236" s="123"/>
      <c r="L236" s="123"/>
      <c r="M236" s="124"/>
      <c r="N236" s="121"/>
      <c r="O236" s="122"/>
      <c r="P236" s="122"/>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row>
    <row r="237" spans="2:50" x14ac:dyDescent="0.2">
      <c r="B237" s="3"/>
      <c r="C237" s="3"/>
      <c r="D237" s="118" t="s">
        <v>233</v>
      </c>
      <c r="E237" s="118"/>
      <c r="F237" s="118" t="s">
        <v>441</v>
      </c>
      <c r="G237" s="118">
        <f t="shared" si="22"/>
        <v>0.95</v>
      </c>
      <c r="H237" s="15"/>
      <c r="I237" s="15"/>
      <c r="J237" s="123"/>
      <c r="K237" s="123"/>
      <c r="L237" s="123"/>
      <c r="M237" s="124"/>
      <c r="N237" s="121"/>
      <c r="O237" s="122"/>
      <c r="P237" s="122"/>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row>
    <row r="238" spans="2:50" x14ac:dyDescent="0.2">
      <c r="B238" s="3"/>
      <c r="C238" s="3"/>
      <c r="D238" s="118" t="s">
        <v>234</v>
      </c>
      <c r="E238" s="118"/>
      <c r="F238" s="118" t="s">
        <v>438</v>
      </c>
      <c r="G238" s="118">
        <f t="shared" si="22"/>
        <v>0.96</v>
      </c>
      <c r="H238" s="15"/>
      <c r="I238" s="15"/>
      <c r="J238" s="123"/>
      <c r="K238" s="123"/>
      <c r="L238" s="123"/>
      <c r="M238" s="124"/>
      <c r="N238" s="121"/>
      <c r="O238" s="122"/>
      <c r="P238" s="122"/>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row>
    <row r="239" spans="2:50" x14ac:dyDescent="0.2">
      <c r="B239" s="3"/>
      <c r="C239" s="3"/>
      <c r="D239" s="118" t="s">
        <v>235</v>
      </c>
      <c r="E239" s="118"/>
      <c r="F239" s="118" t="s">
        <v>442</v>
      </c>
      <c r="G239" s="118">
        <f t="shared" si="22"/>
        <v>0.91</v>
      </c>
      <c r="H239" s="15"/>
      <c r="I239" s="15"/>
      <c r="J239" s="123"/>
      <c r="K239" s="123"/>
      <c r="L239" s="123"/>
      <c r="M239" s="124"/>
      <c r="N239" s="121"/>
      <c r="O239" s="122"/>
      <c r="P239" s="122"/>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row>
    <row r="240" spans="2:50" x14ac:dyDescent="0.2">
      <c r="B240" s="3"/>
      <c r="C240" s="3"/>
      <c r="D240" s="118" t="s">
        <v>236</v>
      </c>
      <c r="E240" s="118"/>
      <c r="F240" s="118" t="s">
        <v>452</v>
      </c>
      <c r="G240" s="118">
        <f t="shared" si="22"/>
        <v>1.04</v>
      </c>
      <c r="H240" s="15"/>
      <c r="I240" s="15"/>
      <c r="J240" s="123"/>
      <c r="K240" s="123"/>
      <c r="L240" s="123"/>
      <c r="M240" s="124"/>
      <c r="N240" s="121"/>
      <c r="O240" s="122"/>
      <c r="P240" s="122"/>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row>
    <row r="241" spans="2:50" x14ac:dyDescent="0.2">
      <c r="B241" s="3"/>
      <c r="C241" s="3"/>
      <c r="D241" s="118" t="s">
        <v>237</v>
      </c>
      <c r="E241" s="118"/>
      <c r="F241" s="118" t="s">
        <v>434</v>
      </c>
      <c r="G241" s="118">
        <f t="shared" si="22"/>
        <v>0.91</v>
      </c>
      <c r="H241" s="15"/>
      <c r="I241" s="15"/>
      <c r="J241" s="123"/>
      <c r="K241" s="123"/>
      <c r="L241" s="123"/>
      <c r="M241" s="124"/>
      <c r="N241" s="121"/>
      <c r="O241" s="122"/>
      <c r="P241" s="122"/>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row>
    <row r="242" spans="2:50" x14ac:dyDescent="0.2">
      <c r="B242" s="3"/>
      <c r="C242" s="3"/>
      <c r="D242" s="118" t="s">
        <v>238</v>
      </c>
      <c r="E242" s="118"/>
      <c r="F242" s="118" t="s">
        <v>396</v>
      </c>
      <c r="G242" s="118">
        <f t="shared" si="22"/>
        <v>0.97</v>
      </c>
      <c r="H242" s="15"/>
      <c r="I242" s="15"/>
      <c r="J242" s="123"/>
      <c r="K242" s="123"/>
      <c r="L242" s="123"/>
      <c r="M242" s="124"/>
      <c r="N242" s="121"/>
      <c r="O242" s="122"/>
      <c r="P242" s="122"/>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row>
    <row r="243" spans="2:50" x14ac:dyDescent="0.2">
      <c r="B243" s="3"/>
      <c r="C243" s="3"/>
      <c r="D243" s="118" t="s">
        <v>239</v>
      </c>
      <c r="E243" s="118"/>
      <c r="F243" s="118" t="s">
        <v>443</v>
      </c>
      <c r="G243" s="118">
        <f t="shared" si="22"/>
        <v>1.1100000000000001</v>
      </c>
      <c r="H243" s="15"/>
      <c r="I243" s="15"/>
      <c r="J243" s="123"/>
      <c r="K243" s="123"/>
      <c r="L243" s="123"/>
      <c r="M243" s="124"/>
      <c r="N243" s="121"/>
      <c r="O243" s="122"/>
      <c r="P243" s="122"/>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row>
    <row r="244" spans="2:50" x14ac:dyDescent="0.2">
      <c r="B244" s="3"/>
      <c r="C244" s="3"/>
      <c r="D244" s="118" t="s">
        <v>240</v>
      </c>
      <c r="E244" s="118"/>
      <c r="F244" s="118" t="s">
        <v>388</v>
      </c>
      <c r="G244" s="118">
        <f t="shared" si="22"/>
        <v>0.92</v>
      </c>
      <c r="H244" s="15"/>
      <c r="I244" s="15"/>
      <c r="J244" s="123"/>
      <c r="K244" s="123"/>
      <c r="L244" s="123"/>
      <c r="M244" s="124"/>
      <c r="N244" s="121"/>
      <c r="O244" s="122"/>
      <c r="P244" s="122"/>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row>
    <row r="245" spans="2:50" x14ac:dyDescent="0.2">
      <c r="B245" s="3"/>
      <c r="C245" s="3"/>
      <c r="D245" s="118" t="s">
        <v>241</v>
      </c>
      <c r="E245" s="118"/>
      <c r="F245" s="118" t="s">
        <v>402</v>
      </c>
      <c r="G245" s="118">
        <f t="shared" si="22"/>
        <v>0.97</v>
      </c>
      <c r="H245" s="15"/>
      <c r="I245" s="15"/>
      <c r="J245" s="123"/>
      <c r="K245" s="123"/>
      <c r="L245" s="123"/>
      <c r="M245" s="124"/>
      <c r="N245" s="121"/>
      <c r="O245" s="122"/>
      <c r="P245" s="122"/>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row>
    <row r="246" spans="2:50" x14ac:dyDescent="0.2">
      <c r="B246" s="3"/>
      <c r="C246" s="3"/>
      <c r="D246" s="118" t="s">
        <v>242</v>
      </c>
      <c r="E246" s="118"/>
      <c r="F246" s="118" t="s">
        <v>384</v>
      </c>
      <c r="G246" s="118">
        <f t="shared" si="22"/>
        <v>1</v>
      </c>
      <c r="H246" s="15"/>
      <c r="I246" s="15"/>
      <c r="J246" s="123"/>
      <c r="K246" s="123"/>
      <c r="L246" s="123"/>
      <c r="M246" s="124"/>
      <c r="N246" s="121"/>
      <c r="O246" s="122"/>
      <c r="P246" s="122"/>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row>
    <row r="247" spans="2:50" x14ac:dyDescent="0.2">
      <c r="B247" s="3"/>
      <c r="C247" s="3"/>
      <c r="D247" s="118" t="s">
        <v>243</v>
      </c>
      <c r="E247" s="118"/>
      <c r="F247" s="118" t="s">
        <v>389</v>
      </c>
      <c r="G247" s="118">
        <f t="shared" si="22"/>
        <v>1</v>
      </c>
      <c r="H247" s="15"/>
      <c r="I247" s="15"/>
      <c r="J247" s="123"/>
      <c r="K247" s="123"/>
      <c r="L247" s="123"/>
      <c r="M247" s="124"/>
      <c r="N247" s="121"/>
      <c r="O247" s="122"/>
      <c r="P247" s="122"/>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row>
    <row r="248" spans="2:50" x14ac:dyDescent="0.2">
      <c r="B248" s="3"/>
      <c r="C248" s="3"/>
      <c r="D248" s="118" t="s">
        <v>244</v>
      </c>
      <c r="E248" s="118"/>
      <c r="F248" s="118" t="s">
        <v>390</v>
      </c>
      <c r="G248" s="118">
        <f t="shared" si="22"/>
        <v>1.02</v>
      </c>
      <c r="H248" s="15"/>
      <c r="I248" s="15"/>
      <c r="J248" s="123"/>
      <c r="K248" s="123"/>
      <c r="L248" s="123"/>
      <c r="M248" s="124"/>
      <c r="N248" s="121"/>
      <c r="O248" s="122"/>
      <c r="P248" s="122"/>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row>
    <row r="249" spans="2:50" x14ac:dyDescent="0.2">
      <c r="B249" s="3"/>
      <c r="C249" s="3"/>
      <c r="D249" s="118" t="s">
        <v>245</v>
      </c>
      <c r="E249" s="118"/>
      <c r="F249" s="118" t="s">
        <v>397</v>
      </c>
      <c r="G249" s="118">
        <f t="shared" si="22"/>
        <v>1.1299999999999999</v>
      </c>
      <c r="H249" s="15"/>
      <c r="I249" s="15"/>
      <c r="J249" s="123"/>
      <c r="K249" s="123"/>
      <c r="L249" s="123"/>
      <c r="M249" s="124"/>
      <c r="N249" s="121"/>
      <c r="O249" s="122"/>
      <c r="P249" s="122"/>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row>
    <row r="250" spans="2:50" x14ac:dyDescent="0.2">
      <c r="B250" s="3"/>
      <c r="C250" s="3"/>
      <c r="D250" s="118" t="s">
        <v>246</v>
      </c>
      <c r="E250" s="118"/>
      <c r="F250" s="118" t="s">
        <v>402</v>
      </c>
      <c r="G250" s="118">
        <f t="shared" si="22"/>
        <v>0.97</v>
      </c>
      <c r="H250" s="15"/>
      <c r="I250" s="15"/>
      <c r="J250" s="123"/>
      <c r="K250" s="123"/>
      <c r="L250" s="123"/>
      <c r="M250" s="124"/>
      <c r="N250" s="121"/>
      <c r="O250" s="122"/>
      <c r="P250" s="122"/>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row>
    <row r="251" spans="2:50" x14ac:dyDescent="0.2">
      <c r="B251" s="3"/>
      <c r="C251" s="3"/>
      <c r="D251" s="118" t="s">
        <v>247</v>
      </c>
      <c r="E251" s="118"/>
      <c r="F251" s="118" t="s">
        <v>390</v>
      </c>
      <c r="G251" s="118">
        <f>LOOKUP(F251,$J$41:$J$121,$L$41:$L$121)</f>
        <v>1.02</v>
      </c>
      <c r="H251" s="15"/>
      <c r="I251" s="15"/>
      <c r="J251" s="123"/>
      <c r="K251" s="123"/>
      <c r="L251" s="123"/>
      <c r="M251" s="124"/>
      <c r="N251" s="121"/>
      <c r="O251" s="122"/>
      <c r="P251" s="122"/>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row>
    <row r="252" spans="2:50" x14ac:dyDescent="0.2">
      <c r="B252" s="3"/>
      <c r="C252" s="3"/>
      <c r="D252" s="118" t="s">
        <v>248</v>
      </c>
      <c r="E252" s="118"/>
      <c r="F252" s="118" t="s">
        <v>382</v>
      </c>
      <c r="G252" s="118">
        <f t="shared" si="22"/>
        <v>1.1599999999999999</v>
      </c>
      <c r="H252" s="15"/>
      <c r="I252" s="15"/>
      <c r="J252" s="123"/>
      <c r="K252" s="123"/>
      <c r="L252" s="123"/>
      <c r="M252" s="124"/>
      <c r="N252" s="121"/>
      <c r="O252" s="122"/>
      <c r="P252" s="122"/>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row>
    <row r="253" spans="2:50" x14ac:dyDescent="0.2">
      <c r="B253" s="3"/>
      <c r="C253" s="3"/>
      <c r="D253" s="118" t="s">
        <v>249</v>
      </c>
      <c r="E253" s="118"/>
      <c r="F253" s="118" t="s">
        <v>427</v>
      </c>
      <c r="G253" s="118">
        <f t="shared" si="22"/>
        <v>1.1000000000000001</v>
      </c>
      <c r="H253" s="15"/>
      <c r="I253" s="15"/>
      <c r="J253" s="123"/>
      <c r="K253" s="123"/>
      <c r="L253" s="123"/>
      <c r="M253" s="124"/>
      <c r="N253" s="121"/>
      <c r="O253" s="122"/>
      <c r="P253" s="122"/>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row>
    <row r="254" spans="2:50" x14ac:dyDescent="0.2">
      <c r="B254" s="3"/>
      <c r="C254" s="3"/>
      <c r="D254" s="118" t="s">
        <v>250</v>
      </c>
      <c r="E254" s="118"/>
      <c r="F254" s="118" t="s">
        <v>439</v>
      </c>
      <c r="G254" s="118">
        <f t="shared" si="22"/>
        <v>1.03</v>
      </c>
      <c r="H254" s="15"/>
      <c r="I254" s="15"/>
      <c r="J254" s="123"/>
      <c r="K254" s="123"/>
      <c r="L254" s="123"/>
      <c r="M254" s="124"/>
      <c r="N254" s="121"/>
      <c r="O254" s="122"/>
      <c r="P254" s="122"/>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row>
    <row r="255" spans="2:50" x14ac:dyDescent="0.2">
      <c r="B255" s="3"/>
      <c r="C255" s="3"/>
      <c r="D255" s="118" t="s">
        <v>251</v>
      </c>
      <c r="E255" s="118"/>
      <c r="F255" s="120" t="s">
        <v>398</v>
      </c>
      <c r="G255" s="118">
        <f t="shared" si="22"/>
        <v>1.02</v>
      </c>
      <c r="H255" s="15"/>
      <c r="I255" s="15"/>
      <c r="J255" s="123"/>
      <c r="K255" s="123"/>
      <c r="L255" s="123"/>
      <c r="M255" s="124"/>
      <c r="N255" s="121"/>
      <c r="O255" s="122"/>
      <c r="P255" s="122"/>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row>
    <row r="256" spans="2:50" x14ac:dyDescent="0.2">
      <c r="B256" s="3"/>
      <c r="C256" s="3"/>
      <c r="D256" s="118" t="s">
        <v>252</v>
      </c>
      <c r="E256" s="118"/>
      <c r="F256" s="118" t="s">
        <v>449</v>
      </c>
      <c r="G256" s="118">
        <f t="shared" si="22"/>
        <v>1.22</v>
      </c>
      <c r="H256" s="15"/>
      <c r="I256" s="15"/>
      <c r="J256" s="123"/>
      <c r="K256" s="123"/>
      <c r="L256" s="123"/>
      <c r="M256" s="124"/>
      <c r="N256" s="121"/>
      <c r="O256" s="122"/>
      <c r="P256" s="122"/>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row>
    <row r="257" spans="2:50" x14ac:dyDescent="0.2">
      <c r="B257" s="3"/>
      <c r="C257" s="3"/>
      <c r="D257" s="118" t="s">
        <v>253</v>
      </c>
      <c r="E257" s="118"/>
      <c r="F257" s="118" t="s">
        <v>402</v>
      </c>
      <c r="G257" s="118">
        <f t="shared" si="22"/>
        <v>0.97</v>
      </c>
      <c r="H257" s="15"/>
      <c r="I257" s="15"/>
      <c r="J257" s="123"/>
      <c r="K257" s="123"/>
      <c r="L257" s="123"/>
      <c r="M257" s="124"/>
      <c r="N257" s="121"/>
      <c r="O257" s="122"/>
      <c r="P257" s="122"/>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row>
    <row r="258" spans="2:50" x14ac:dyDescent="0.2">
      <c r="B258" s="3"/>
      <c r="C258" s="3"/>
      <c r="D258" s="118" t="s">
        <v>254</v>
      </c>
      <c r="E258" s="118"/>
      <c r="F258" s="118" t="s">
        <v>428</v>
      </c>
      <c r="G258" s="118">
        <f t="shared" si="22"/>
        <v>1.17</v>
      </c>
      <c r="H258" s="15"/>
      <c r="I258" s="15"/>
      <c r="J258" s="123"/>
      <c r="K258" s="123"/>
      <c r="L258" s="123"/>
      <c r="M258" s="124"/>
      <c r="N258" s="121"/>
      <c r="O258" s="122"/>
      <c r="P258" s="122"/>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row>
    <row r="259" spans="2:50" x14ac:dyDescent="0.2">
      <c r="B259" s="3"/>
      <c r="C259" s="3"/>
      <c r="D259" s="118" t="s">
        <v>255</v>
      </c>
      <c r="E259" s="118"/>
      <c r="F259" s="118" t="s">
        <v>439</v>
      </c>
      <c r="G259" s="118">
        <f t="shared" si="22"/>
        <v>1.03</v>
      </c>
      <c r="H259" s="15"/>
      <c r="I259" s="15"/>
      <c r="J259" s="123"/>
      <c r="K259" s="123"/>
      <c r="L259" s="123"/>
      <c r="M259" s="124"/>
      <c r="N259" s="121"/>
      <c r="O259" s="122"/>
      <c r="P259" s="122"/>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row>
    <row r="260" spans="2:50" x14ac:dyDescent="0.2">
      <c r="B260" s="3"/>
      <c r="C260" s="3"/>
      <c r="D260" s="118" t="s">
        <v>256</v>
      </c>
      <c r="E260" s="118"/>
      <c r="F260" s="118" t="s">
        <v>396</v>
      </c>
      <c r="G260" s="118">
        <f t="shared" si="22"/>
        <v>0.97</v>
      </c>
      <c r="H260" s="15"/>
      <c r="I260" s="15"/>
      <c r="J260" s="123"/>
      <c r="K260" s="123"/>
      <c r="L260" s="123"/>
      <c r="M260" s="124"/>
      <c r="N260" s="121"/>
      <c r="O260" s="122"/>
      <c r="P260" s="122"/>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row>
    <row r="261" spans="2:50" x14ac:dyDescent="0.2">
      <c r="B261" s="3"/>
      <c r="C261" s="3"/>
      <c r="D261" s="118" t="s">
        <v>257</v>
      </c>
      <c r="E261" s="118"/>
      <c r="F261" s="118" t="s">
        <v>394</v>
      </c>
      <c r="G261" s="118">
        <f t="shared" si="22"/>
        <v>1.04</v>
      </c>
      <c r="H261" s="15"/>
      <c r="I261" s="15"/>
      <c r="J261" s="123"/>
      <c r="K261" s="123"/>
      <c r="L261" s="123"/>
      <c r="M261" s="124"/>
      <c r="N261" s="121"/>
      <c r="O261" s="122"/>
      <c r="P261" s="122"/>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row>
    <row r="262" spans="2:50" x14ac:dyDescent="0.2">
      <c r="B262" s="3"/>
      <c r="C262" s="3"/>
      <c r="D262" s="118" t="s">
        <v>258</v>
      </c>
      <c r="E262" s="118"/>
      <c r="F262" s="118" t="s">
        <v>402</v>
      </c>
      <c r="G262" s="118">
        <f t="shared" si="22"/>
        <v>0.97</v>
      </c>
      <c r="H262" s="15"/>
      <c r="I262" s="15"/>
      <c r="J262" s="123"/>
      <c r="K262" s="123"/>
      <c r="L262" s="123"/>
      <c r="M262" s="124"/>
      <c r="N262" s="121"/>
      <c r="O262" s="122"/>
      <c r="P262" s="122"/>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row>
    <row r="263" spans="2:50" x14ac:dyDescent="0.2">
      <c r="B263" s="3"/>
      <c r="C263" s="3"/>
      <c r="D263" s="118" t="s">
        <v>259</v>
      </c>
      <c r="E263" s="118"/>
      <c r="F263" s="118" t="s">
        <v>392</v>
      </c>
      <c r="G263" s="118">
        <f t="shared" si="22"/>
        <v>1.17</v>
      </c>
      <c r="H263" s="15"/>
      <c r="I263" s="15"/>
      <c r="J263" s="123"/>
      <c r="K263" s="123"/>
      <c r="L263" s="123"/>
      <c r="M263" s="124"/>
      <c r="N263" s="121"/>
      <c r="O263" s="122"/>
      <c r="P263" s="122"/>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row>
    <row r="264" spans="2:50" x14ac:dyDescent="0.2">
      <c r="B264" s="3"/>
      <c r="C264" s="3"/>
      <c r="D264" s="118" t="s">
        <v>260</v>
      </c>
      <c r="E264" s="118"/>
      <c r="F264" s="118" t="s">
        <v>446</v>
      </c>
      <c r="G264" s="118">
        <f t="shared" si="22"/>
        <v>0.98</v>
      </c>
      <c r="H264" s="15"/>
      <c r="I264" s="15"/>
      <c r="J264" s="123"/>
      <c r="K264" s="123"/>
      <c r="L264" s="123"/>
      <c r="M264" s="124"/>
      <c r="N264" s="121"/>
      <c r="O264" s="122"/>
      <c r="P264" s="122"/>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row>
    <row r="265" spans="2:50" x14ac:dyDescent="0.2">
      <c r="B265" s="3"/>
      <c r="C265" s="3"/>
      <c r="D265" s="118" t="s">
        <v>261</v>
      </c>
      <c r="E265" s="118"/>
      <c r="F265" s="120" t="s">
        <v>452</v>
      </c>
      <c r="G265" s="118">
        <f t="shared" si="22"/>
        <v>1.04</v>
      </c>
      <c r="H265" s="15"/>
      <c r="I265" s="15"/>
      <c r="J265" s="123"/>
      <c r="K265" s="123"/>
      <c r="L265" s="123"/>
      <c r="M265" s="124"/>
      <c r="N265" s="121"/>
      <c r="O265" s="122"/>
      <c r="P265" s="122"/>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121"/>
    </row>
    <row r="266" spans="2:50" x14ac:dyDescent="0.2">
      <c r="B266" s="3"/>
      <c r="C266" s="3"/>
      <c r="D266" s="118" t="s">
        <v>262</v>
      </c>
      <c r="E266" s="118"/>
      <c r="F266" s="118" t="s">
        <v>449</v>
      </c>
      <c r="G266" s="118">
        <f t="shared" si="22"/>
        <v>1.22</v>
      </c>
      <c r="H266" s="15"/>
      <c r="I266" s="15"/>
      <c r="J266" s="123"/>
      <c r="K266" s="123"/>
      <c r="L266" s="123"/>
      <c r="M266" s="124"/>
      <c r="N266" s="121"/>
      <c r="O266" s="122"/>
      <c r="P266" s="122"/>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row>
    <row r="267" spans="2:50" x14ac:dyDescent="0.2">
      <c r="B267" s="3"/>
      <c r="C267" s="3"/>
      <c r="D267" s="118" t="s">
        <v>263</v>
      </c>
      <c r="E267" s="118"/>
      <c r="F267" s="118" t="s">
        <v>442</v>
      </c>
      <c r="G267" s="118">
        <f t="shared" si="22"/>
        <v>0.91</v>
      </c>
      <c r="H267" s="15"/>
      <c r="I267" s="15"/>
      <c r="J267" s="123"/>
      <c r="K267" s="123"/>
      <c r="L267" s="123"/>
      <c r="M267" s="124"/>
      <c r="N267" s="121"/>
      <c r="O267" s="122"/>
      <c r="P267" s="122"/>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row>
    <row r="268" spans="2:50" x14ac:dyDescent="0.2">
      <c r="B268" s="3"/>
      <c r="C268" s="3"/>
      <c r="D268" s="118" t="s">
        <v>264</v>
      </c>
      <c r="E268" s="118"/>
      <c r="F268" s="118" t="s">
        <v>397</v>
      </c>
      <c r="G268" s="118">
        <f t="shared" si="22"/>
        <v>1.1299999999999999</v>
      </c>
      <c r="H268" s="15"/>
      <c r="I268" s="15"/>
      <c r="J268" s="123"/>
      <c r="K268" s="123"/>
      <c r="L268" s="123"/>
      <c r="M268" s="124"/>
      <c r="N268" s="121"/>
      <c r="O268" s="122"/>
      <c r="P268" s="122"/>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row>
    <row r="269" spans="2:50" x14ac:dyDescent="0.2">
      <c r="B269" s="3"/>
      <c r="C269" s="3"/>
      <c r="D269" s="118" t="s">
        <v>265</v>
      </c>
      <c r="E269" s="118"/>
      <c r="F269" s="118" t="s">
        <v>434</v>
      </c>
      <c r="G269" s="118">
        <f t="shared" si="22"/>
        <v>0.91</v>
      </c>
      <c r="H269" s="15"/>
      <c r="I269" s="15"/>
      <c r="J269" s="123"/>
      <c r="K269" s="123"/>
      <c r="L269" s="123"/>
      <c r="M269" s="124"/>
      <c r="N269" s="121"/>
      <c r="O269" s="122"/>
      <c r="P269" s="122"/>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row>
    <row r="270" spans="2:50" x14ac:dyDescent="0.2">
      <c r="B270" s="3"/>
      <c r="C270" s="3"/>
      <c r="D270" s="118" t="s">
        <v>266</v>
      </c>
      <c r="E270" s="118"/>
      <c r="F270" s="118" t="s">
        <v>439</v>
      </c>
      <c r="G270" s="118">
        <f t="shared" si="22"/>
        <v>1.03</v>
      </c>
      <c r="H270" s="15"/>
      <c r="I270" s="15"/>
      <c r="J270" s="123"/>
      <c r="K270" s="123"/>
      <c r="L270" s="123"/>
      <c r="M270" s="124"/>
      <c r="N270" s="121"/>
      <c r="O270" s="122"/>
      <c r="P270" s="122"/>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row>
    <row r="271" spans="2:50" x14ac:dyDescent="0.2">
      <c r="B271" s="3"/>
      <c r="C271" s="3"/>
      <c r="D271" s="118" t="s">
        <v>267</v>
      </c>
      <c r="E271" s="118"/>
      <c r="F271" s="118" t="s">
        <v>396</v>
      </c>
      <c r="G271" s="118">
        <f t="shared" si="22"/>
        <v>0.97</v>
      </c>
      <c r="H271" s="15"/>
      <c r="I271" s="15"/>
      <c r="J271" s="123"/>
      <c r="K271" s="123"/>
      <c r="L271" s="123"/>
      <c r="M271" s="124"/>
      <c r="N271" s="121"/>
      <c r="O271" s="122"/>
      <c r="P271" s="122"/>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row>
    <row r="272" spans="2:50" x14ac:dyDescent="0.2">
      <c r="B272" s="3"/>
      <c r="C272" s="3"/>
      <c r="D272" s="118" t="s">
        <v>268</v>
      </c>
      <c r="E272" s="118"/>
      <c r="F272" s="118" t="s">
        <v>453</v>
      </c>
      <c r="G272" s="118">
        <f t="shared" si="22"/>
        <v>1.01</v>
      </c>
      <c r="H272" s="15"/>
      <c r="I272" s="15"/>
      <c r="J272" s="123"/>
      <c r="K272" s="123"/>
      <c r="L272" s="123"/>
      <c r="M272" s="124"/>
      <c r="N272" s="121"/>
      <c r="O272" s="122"/>
      <c r="P272" s="122"/>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row>
    <row r="273" spans="2:50" x14ac:dyDescent="0.2">
      <c r="B273" s="3"/>
      <c r="C273" s="3"/>
      <c r="D273" s="118" t="s">
        <v>269</v>
      </c>
      <c r="E273" s="118"/>
      <c r="F273" s="118" t="s">
        <v>439</v>
      </c>
      <c r="G273" s="118">
        <f t="shared" si="22"/>
        <v>1.03</v>
      </c>
      <c r="H273" s="15"/>
      <c r="I273" s="15"/>
      <c r="J273" s="123"/>
      <c r="K273" s="123"/>
      <c r="L273" s="123"/>
      <c r="M273" s="124"/>
      <c r="N273" s="121"/>
      <c r="O273" s="122"/>
      <c r="P273" s="122"/>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row>
    <row r="274" spans="2:50" x14ac:dyDescent="0.2">
      <c r="B274" s="3"/>
      <c r="C274" s="3"/>
      <c r="D274" s="118" t="s">
        <v>270</v>
      </c>
      <c r="E274" s="118"/>
      <c r="F274" s="118" t="s">
        <v>445</v>
      </c>
      <c r="G274" s="118">
        <f t="shared" si="22"/>
        <v>0.98</v>
      </c>
      <c r="H274" s="15"/>
      <c r="I274" s="15"/>
      <c r="J274" s="123"/>
      <c r="K274" s="123"/>
      <c r="L274" s="123"/>
      <c r="M274" s="124"/>
      <c r="N274" s="121"/>
      <c r="O274" s="122"/>
      <c r="P274" s="122"/>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row>
    <row r="275" spans="2:50" x14ac:dyDescent="0.2">
      <c r="B275" s="3"/>
      <c r="C275" s="3"/>
      <c r="D275" s="118" t="s">
        <v>271</v>
      </c>
      <c r="E275" s="118"/>
      <c r="F275" s="118" t="s">
        <v>436</v>
      </c>
      <c r="G275" s="118">
        <f t="shared" si="22"/>
        <v>0.97</v>
      </c>
      <c r="H275" s="15"/>
      <c r="I275" s="15"/>
      <c r="J275" s="123"/>
      <c r="K275" s="123"/>
      <c r="L275" s="123"/>
      <c r="M275" s="124"/>
      <c r="N275" s="121"/>
      <c r="O275" s="122"/>
      <c r="P275" s="122"/>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row>
    <row r="276" spans="2:50" x14ac:dyDescent="0.2">
      <c r="B276" s="3"/>
      <c r="C276" s="3"/>
      <c r="D276" s="118" t="s">
        <v>272</v>
      </c>
      <c r="E276" s="118"/>
      <c r="F276" s="118" t="s">
        <v>439</v>
      </c>
      <c r="G276" s="118">
        <f t="shared" si="22"/>
        <v>1.03</v>
      </c>
      <c r="H276" s="15"/>
      <c r="I276" s="15"/>
      <c r="J276" s="123"/>
      <c r="K276" s="123"/>
      <c r="L276" s="123"/>
      <c r="M276" s="124"/>
      <c r="N276" s="121"/>
      <c r="O276" s="122"/>
      <c r="P276" s="122"/>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row>
    <row r="277" spans="2:50" x14ac:dyDescent="0.2">
      <c r="B277" s="3"/>
      <c r="C277" s="3"/>
      <c r="D277" s="118" t="s">
        <v>273</v>
      </c>
      <c r="E277" s="118"/>
      <c r="F277" s="118" t="s">
        <v>401</v>
      </c>
      <c r="G277" s="118">
        <f t="shared" si="22"/>
        <v>1.17</v>
      </c>
      <c r="H277" s="15"/>
      <c r="I277" s="15"/>
      <c r="J277" s="123"/>
      <c r="K277" s="123"/>
      <c r="L277" s="123"/>
      <c r="M277" s="124"/>
      <c r="N277" s="121"/>
      <c r="O277" s="122"/>
      <c r="P277" s="122"/>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row>
    <row r="278" spans="2:50" x14ac:dyDescent="0.2">
      <c r="B278" s="3"/>
      <c r="C278" s="3"/>
      <c r="D278" s="118" t="s">
        <v>274</v>
      </c>
      <c r="E278" s="118"/>
      <c r="F278" s="118" t="s">
        <v>446</v>
      </c>
      <c r="G278" s="118">
        <f t="shared" si="22"/>
        <v>0.98</v>
      </c>
      <c r="H278" s="15"/>
      <c r="I278" s="15"/>
      <c r="J278" s="123"/>
      <c r="K278" s="123"/>
      <c r="L278" s="123"/>
      <c r="M278" s="124"/>
      <c r="N278" s="121"/>
      <c r="O278" s="122"/>
      <c r="P278" s="122"/>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row>
    <row r="279" spans="2:50" x14ac:dyDescent="0.2">
      <c r="B279" s="3"/>
      <c r="C279" s="3"/>
      <c r="D279" s="118" t="s">
        <v>275</v>
      </c>
      <c r="E279" s="118"/>
      <c r="F279" s="118" t="s">
        <v>401</v>
      </c>
      <c r="G279" s="118">
        <f t="shared" si="22"/>
        <v>1.17</v>
      </c>
      <c r="H279" s="15"/>
      <c r="I279" s="15"/>
      <c r="J279" s="123"/>
      <c r="K279" s="123"/>
      <c r="L279" s="123"/>
      <c r="M279" s="124"/>
      <c r="N279" s="121"/>
      <c r="O279" s="122"/>
      <c r="P279" s="122"/>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row>
    <row r="280" spans="2:50" x14ac:dyDescent="0.2">
      <c r="B280" s="3"/>
      <c r="C280" s="3"/>
      <c r="D280" s="118" t="s">
        <v>276</v>
      </c>
      <c r="E280" s="118"/>
      <c r="F280" s="118" t="s">
        <v>276</v>
      </c>
      <c r="G280" s="118">
        <f t="shared" si="22"/>
        <v>1.01</v>
      </c>
      <c r="H280" s="15"/>
      <c r="I280" s="15"/>
      <c r="J280" s="123"/>
      <c r="K280" s="123"/>
      <c r="L280" s="123"/>
      <c r="M280" s="124"/>
      <c r="N280" s="121"/>
      <c r="O280" s="122"/>
      <c r="P280" s="122"/>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row>
    <row r="281" spans="2:50" x14ac:dyDescent="0.2">
      <c r="B281" s="3"/>
      <c r="C281" s="3"/>
      <c r="D281" s="118" t="s">
        <v>277</v>
      </c>
      <c r="E281" s="118"/>
      <c r="F281" s="118" t="s">
        <v>382</v>
      </c>
      <c r="G281" s="118">
        <f t="shared" si="22"/>
        <v>1.1599999999999999</v>
      </c>
      <c r="H281" s="15"/>
      <c r="I281" s="15"/>
      <c r="J281" s="123"/>
      <c r="K281" s="123"/>
      <c r="L281" s="123"/>
      <c r="M281" s="124"/>
      <c r="N281" s="121"/>
      <c r="O281" s="122"/>
      <c r="P281" s="122"/>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row>
    <row r="282" spans="2:50" x14ac:dyDescent="0.2">
      <c r="B282" s="3"/>
      <c r="C282" s="3"/>
      <c r="D282" s="118" t="s">
        <v>278</v>
      </c>
      <c r="E282" s="118"/>
      <c r="F282" s="118" t="s">
        <v>453</v>
      </c>
      <c r="G282" s="118">
        <f t="shared" si="22"/>
        <v>1.01</v>
      </c>
      <c r="H282" s="15"/>
      <c r="I282" s="15"/>
      <c r="J282" s="123"/>
      <c r="K282" s="123"/>
      <c r="L282" s="123"/>
      <c r="M282" s="124"/>
      <c r="N282" s="121"/>
      <c r="O282" s="122"/>
      <c r="P282" s="122"/>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row>
    <row r="283" spans="2:50" x14ac:dyDescent="0.2">
      <c r="B283" s="3"/>
      <c r="C283" s="3"/>
      <c r="D283" s="118" t="s">
        <v>279</v>
      </c>
      <c r="E283" s="118"/>
      <c r="F283" s="118" t="s">
        <v>383</v>
      </c>
      <c r="G283" s="118">
        <f t="shared" si="22"/>
        <v>1.1399999999999999</v>
      </c>
      <c r="H283" s="15"/>
      <c r="I283" s="15"/>
      <c r="J283" s="123"/>
      <c r="K283" s="123"/>
      <c r="L283" s="123"/>
      <c r="M283" s="124"/>
      <c r="N283" s="121"/>
      <c r="O283" s="122"/>
      <c r="P283" s="122"/>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row>
    <row r="284" spans="2:50" x14ac:dyDescent="0.2">
      <c r="B284" s="3"/>
      <c r="C284" s="3"/>
      <c r="D284" s="118" t="s">
        <v>280</v>
      </c>
      <c r="E284" s="118"/>
      <c r="F284" s="118" t="s">
        <v>384</v>
      </c>
      <c r="G284" s="118">
        <f t="shared" si="22"/>
        <v>1</v>
      </c>
      <c r="H284" s="15"/>
      <c r="I284" s="15"/>
      <c r="J284" s="123"/>
      <c r="K284" s="123"/>
      <c r="L284" s="123"/>
      <c r="M284" s="124"/>
      <c r="N284" s="121"/>
      <c r="O284" s="122"/>
      <c r="P284" s="122"/>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row>
    <row r="285" spans="2:50" x14ac:dyDescent="0.2">
      <c r="B285" s="3"/>
      <c r="C285" s="3"/>
      <c r="D285" s="118" t="s">
        <v>281</v>
      </c>
      <c r="E285" s="118"/>
      <c r="F285" s="118" t="s">
        <v>388</v>
      </c>
      <c r="G285" s="118">
        <f t="shared" si="22"/>
        <v>0.92</v>
      </c>
      <c r="H285" s="15"/>
      <c r="I285" s="15"/>
      <c r="J285" s="123"/>
      <c r="K285" s="123"/>
      <c r="L285" s="123"/>
      <c r="M285" s="124"/>
      <c r="N285" s="121"/>
      <c r="O285" s="122"/>
      <c r="P285" s="122"/>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row>
    <row r="286" spans="2:50" x14ac:dyDescent="0.2">
      <c r="B286" s="3"/>
      <c r="C286" s="3"/>
      <c r="D286" s="118" t="s">
        <v>282</v>
      </c>
      <c r="E286" s="118"/>
      <c r="F286" s="118" t="s">
        <v>454</v>
      </c>
      <c r="G286" s="118">
        <f t="shared" si="22"/>
        <v>1.1599999999999999</v>
      </c>
      <c r="H286" s="15"/>
      <c r="I286" s="15"/>
      <c r="J286" s="123"/>
      <c r="K286" s="123"/>
      <c r="L286" s="123"/>
      <c r="M286" s="124"/>
      <c r="N286" s="121"/>
      <c r="O286" s="122"/>
      <c r="P286" s="122"/>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row>
    <row r="287" spans="2:50" x14ac:dyDescent="0.2">
      <c r="B287" s="3"/>
      <c r="C287" s="3"/>
      <c r="D287" s="118" t="s">
        <v>283</v>
      </c>
      <c r="E287" s="118"/>
      <c r="F287" s="118" t="s">
        <v>395</v>
      </c>
      <c r="G287" s="118">
        <f t="shared" si="22"/>
        <v>1.01</v>
      </c>
      <c r="H287" s="15"/>
      <c r="I287" s="15"/>
      <c r="J287" s="123"/>
      <c r="K287" s="123"/>
      <c r="L287" s="123"/>
      <c r="M287" s="124"/>
      <c r="N287" s="121"/>
      <c r="O287" s="122"/>
      <c r="P287" s="122"/>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row>
    <row r="288" spans="2:50" x14ac:dyDescent="0.2">
      <c r="B288" s="3"/>
      <c r="C288" s="3"/>
      <c r="D288" s="118" t="s">
        <v>284</v>
      </c>
      <c r="E288" s="118"/>
      <c r="F288" s="118" t="s">
        <v>389</v>
      </c>
      <c r="G288" s="118">
        <f t="shared" si="22"/>
        <v>1</v>
      </c>
      <c r="H288" s="15"/>
      <c r="I288" s="15"/>
      <c r="J288" s="123"/>
      <c r="K288" s="123"/>
      <c r="L288" s="123"/>
      <c r="M288" s="124"/>
      <c r="N288" s="121"/>
      <c r="O288" s="122"/>
      <c r="P288" s="122"/>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row>
    <row r="289" spans="2:50" x14ac:dyDescent="0.2">
      <c r="B289" s="3"/>
      <c r="C289" s="3"/>
      <c r="D289" s="118" t="s">
        <v>285</v>
      </c>
      <c r="E289" s="118"/>
      <c r="F289" s="118" t="s">
        <v>435</v>
      </c>
      <c r="G289" s="118">
        <f t="shared" si="22"/>
        <v>0.91</v>
      </c>
      <c r="H289" s="15"/>
      <c r="I289" s="15"/>
      <c r="J289" s="123"/>
      <c r="K289" s="123"/>
      <c r="L289" s="123"/>
      <c r="M289" s="124"/>
      <c r="N289" s="121"/>
      <c r="O289" s="122"/>
      <c r="P289" s="122"/>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row>
    <row r="290" spans="2:50" x14ac:dyDescent="0.2">
      <c r="B290" s="3"/>
      <c r="C290" s="3"/>
      <c r="D290" s="118" t="s">
        <v>286</v>
      </c>
      <c r="E290" s="118"/>
      <c r="F290" s="118" t="s">
        <v>435</v>
      </c>
      <c r="G290" s="118">
        <f t="shared" si="22"/>
        <v>0.91</v>
      </c>
      <c r="H290" s="15"/>
      <c r="I290" s="15"/>
      <c r="J290" s="123"/>
      <c r="K290" s="123"/>
      <c r="L290" s="123"/>
      <c r="M290" s="124"/>
      <c r="N290" s="121"/>
      <c r="O290" s="122"/>
      <c r="P290" s="122"/>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row>
    <row r="291" spans="2:50" x14ac:dyDescent="0.2">
      <c r="B291" s="3"/>
      <c r="C291" s="3"/>
      <c r="D291" s="118" t="s">
        <v>287</v>
      </c>
      <c r="E291" s="118"/>
      <c r="F291" s="118" t="s">
        <v>387</v>
      </c>
      <c r="G291" s="118">
        <f t="shared" si="22"/>
        <v>0.99</v>
      </c>
      <c r="H291" s="15"/>
      <c r="I291" s="15"/>
      <c r="J291" s="123"/>
      <c r="K291" s="123"/>
      <c r="L291" s="123"/>
      <c r="M291" s="124"/>
      <c r="N291" s="121"/>
      <c r="O291" s="122"/>
      <c r="P291" s="122"/>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row>
    <row r="292" spans="2:50" x14ac:dyDescent="0.2">
      <c r="B292" s="3"/>
      <c r="C292" s="3"/>
      <c r="D292" s="118" t="s">
        <v>288</v>
      </c>
      <c r="E292" s="118"/>
      <c r="F292" s="118" t="s">
        <v>438</v>
      </c>
      <c r="G292" s="118">
        <f t="shared" si="22"/>
        <v>0.96</v>
      </c>
      <c r="H292" s="15"/>
      <c r="I292" s="15"/>
      <c r="J292" s="123"/>
      <c r="K292" s="123"/>
      <c r="L292" s="123"/>
      <c r="M292" s="124"/>
      <c r="N292" s="121"/>
      <c r="O292" s="122"/>
      <c r="P292" s="122"/>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row>
    <row r="293" spans="2:50" x14ac:dyDescent="0.2">
      <c r="B293" s="3"/>
      <c r="C293" s="3"/>
      <c r="D293" s="118" t="s">
        <v>289</v>
      </c>
      <c r="E293" s="118"/>
      <c r="F293" s="118" t="s">
        <v>440</v>
      </c>
      <c r="G293" s="118">
        <f t="shared" si="22"/>
        <v>0.96</v>
      </c>
      <c r="H293" s="15"/>
      <c r="I293" s="15"/>
      <c r="J293" s="123"/>
      <c r="K293" s="123"/>
      <c r="L293" s="123"/>
      <c r="M293" s="124"/>
      <c r="N293" s="121"/>
      <c r="O293" s="122"/>
      <c r="P293" s="122"/>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row>
    <row r="294" spans="2:50" x14ac:dyDescent="0.2">
      <c r="B294" s="3"/>
      <c r="C294" s="3"/>
      <c r="D294" s="118" t="s">
        <v>290</v>
      </c>
      <c r="E294" s="118"/>
      <c r="F294" s="118" t="s">
        <v>443</v>
      </c>
      <c r="G294" s="118">
        <f t="shared" si="22"/>
        <v>1.1100000000000001</v>
      </c>
      <c r="H294" s="15"/>
      <c r="I294" s="15"/>
      <c r="J294" s="123"/>
      <c r="K294" s="123"/>
      <c r="L294" s="123"/>
      <c r="M294" s="124"/>
      <c r="N294" s="121"/>
      <c r="O294" s="122"/>
      <c r="P294" s="122"/>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row>
    <row r="295" spans="2:50" x14ac:dyDescent="0.2">
      <c r="B295" s="3"/>
      <c r="C295" s="3"/>
      <c r="D295" s="118" t="s">
        <v>291</v>
      </c>
      <c r="E295" s="118"/>
      <c r="F295" s="118" t="s">
        <v>402</v>
      </c>
      <c r="G295" s="118">
        <f t="shared" si="22"/>
        <v>0.97</v>
      </c>
      <c r="H295" s="15"/>
      <c r="I295" s="15"/>
      <c r="J295" s="123"/>
      <c r="K295" s="123"/>
      <c r="L295" s="123"/>
      <c r="M295" s="124"/>
      <c r="N295" s="121"/>
      <c r="O295" s="122"/>
      <c r="P295" s="122"/>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row>
    <row r="296" spans="2:50" x14ac:dyDescent="0.2">
      <c r="B296" s="3"/>
      <c r="C296" s="3"/>
      <c r="D296" s="118" t="s">
        <v>292</v>
      </c>
      <c r="E296" s="118"/>
      <c r="F296" s="118" t="s">
        <v>445</v>
      </c>
      <c r="G296" s="118">
        <f t="shared" si="22"/>
        <v>0.98</v>
      </c>
      <c r="H296" s="15"/>
      <c r="I296" s="15"/>
      <c r="J296" s="123"/>
      <c r="K296" s="123"/>
      <c r="L296" s="123"/>
      <c r="M296" s="124"/>
      <c r="N296" s="121"/>
      <c r="O296" s="122"/>
      <c r="P296" s="122"/>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row>
    <row r="297" spans="2:50" x14ac:dyDescent="0.2">
      <c r="B297" s="3"/>
      <c r="C297" s="3"/>
      <c r="D297" s="118" t="s">
        <v>293</v>
      </c>
      <c r="E297" s="118"/>
      <c r="F297" s="118" t="s">
        <v>447</v>
      </c>
      <c r="G297" s="118">
        <f t="shared" ref="G297:G360" si="23">LOOKUP(F297,$J$41:$J$121,$L$41:$L$121)</f>
        <v>0.99</v>
      </c>
      <c r="H297" s="15"/>
      <c r="I297" s="15"/>
      <c r="J297" s="123"/>
      <c r="K297" s="123"/>
      <c r="L297" s="123"/>
      <c r="M297" s="124"/>
      <c r="N297" s="121"/>
      <c r="O297" s="122"/>
      <c r="P297" s="122"/>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row>
    <row r="298" spans="2:50" x14ac:dyDescent="0.2">
      <c r="B298" s="3"/>
      <c r="C298" s="3"/>
      <c r="D298" s="118" t="s">
        <v>294</v>
      </c>
      <c r="E298" s="118"/>
      <c r="F298" s="118" t="s">
        <v>450</v>
      </c>
      <c r="G298" s="118">
        <f t="shared" si="23"/>
        <v>0.92</v>
      </c>
      <c r="H298" s="15"/>
      <c r="I298" s="15"/>
      <c r="J298" s="123"/>
      <c r="K298" s="123"/>
      <c r="L298" s="123"/>
      <c r="M298" s="124"/>
      <c r="N298" s="121"/>
      <c r="O298" s="122"/>
      <c r="P298" s="122"/>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row>
    <row r="299" spans="2:50" x14ac:dyDescent="0.2">
      <c r="B299" s="3"/>
      <c r="C299" s="3"/>
      <c r="D299" s="118" t="s">
        <v>295</v>
      </c>
      <c r="E299" s="118"/>
      <c r="F299" s="118" t="s">
        <v>397</v>
      </c>
      <c r="G299" s="118">
        <f t="shared" si="23"/>
        <v>1.1299999999999999</v>
      </c>
      <c r="H299" s="15"/>
      <c r="I299" s="15"/>
      <c r="J299" s="123"/>
      <c r="K299" s="123"/>
      <c r="L299" s="123"/>
      <c r="M299" s="124"/>
      <c r="N299" s="121"/>
      <c r="O299" s="122"/>
      <c r="P299" s="122"/>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row>
    <row r="300" spans="2:50" x14ac:dyDescent="0.2">
      <c r="B300" s="3"/>
      <c r="C300" s="3"/>
      <c r="D300" s="118" t="s">
        <v>296</v>
      </c>
      <c r="E300" s="118"/>
      <c r="F300" s="118" t="s">
        <v>394</v>
      </c>
      <c r="G300" s="118">
        <f t="shared" si="23"/>
        <v>1.04</v>
      </c>
      <c r="H300" s="15"/>
      <c r="I300" s="15"/>
      <c r="J300" s="123"/>
      <c r="K300" s="123"/>
      <c r="L300" s="123"/>
      <c r="M300" s="124"/>
      <c r="N300" s="121"/>
      <c r="O300" s="122"/>
      <c r="P300" s="122"/>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row>
    <row r="301" spans="2:50" x14ac:dyDescent="0.2">
      <c r="B301" s="3"/>
      <c r="C301" s="3"/>
      <c r="D301" s="118" t="s">
        <v>297</v>
      </c>
      <c r="E301" s="118"/>
      <c r="F301" s="118" t="s">
        <v>429</v>
      </c>
      <c r="G301" s="118">
        <f t="shared" si="23"/>
        <v>1.23</v>
      </c>
      <c r="H301" s="15"/>
      <c r="I301" s="15"/>
      <c r="J301" s="123"/>
      <c r="K301" s="123"/>
      <c r="L301" s="123"/>
      <c r="M301" s="124"/>
      <c r="N301" s="121"/>
      <c r="O301" s="122"/>
      <c r="P301" s="122"/>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row>
    <row r="302" spans="2:50" x14ac:dyDescent="0.2">
      <c r="B302" s="3"/>
      <c r="C302" s="3"/>
      <c r="D302" s="118" t="s">
        <v>298</v>
      </c>
      <c r="E302" s="118"/>
      <c r="F302" s="118" t="s">
        <v>449</v>
      </c>
      <c r="G302" s="118">
        <f t="shared" si="23"/>
        <v>1.22</v>
      </c>
      <c r="H302" s="15"/>
      <c r="I302" s="15"/>
      <c r="J302" s="123"/>
      <c r="K302" s="123"/>
      <c r="L302" s="123"/>
      <c r="M302" s="124"/>
      <c r="N302" s="121"/>
      <c r="O302" s="122"/>
      <c r="P302" s="122"/>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row>
    <row r="303" spans="2:50" x14ac:dyDescent="0.2">
      <c r="B303" s="3"/>
      <c r="C303" s="3"/>
      <c r="D303" s="118" t="s">
        <v>299</v>
      </c>
      <c r="E303" s="118"/>
      <c r="F303" s="118" t="s">
        <v>399</v>
      </c>
      <c r="G303" s="118">
        <f t="shared" si="23"/>
        <v>1.07</v>
      </c>
      <c r="H303" s="15"/>
      <c r="I303" s="15"/>
      <c r="J303" s="123"/>
      <c r="K303" s="123"/>
      <c r="L303" s="123"/>
      <c r="M303" s="124"/>
      <c r="N303" s="121"/>
      <c r="O303" s="122"/>
      <c r="P303" s="122"/>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row>
    <row r="304" spans="2:50" x14ac:dyDescent="0.2">
      <c r="B304" s="3"/>
      <c r="C304" s="3"/>
      <c r="D304" s="118" t="s">
        <v>300</v>
      </c>
      <c r="E304" s="118"/>
      <c r="F304" s="118" t="s">
        <v>448</v>
      </c>
      <c r="G304" s="118">
        <f t="shared" si="23"/>
        <v>0.98</v>
      </c>
      <c r="H304" s="15"/>
      <c r="I304" s="15"/>
      <c r="J304" s="123"/>
      <c r="K304" s="123"/>
      <c r="L304" s="123"/>
      <c r="M304" s="124"/>
      <c r="N304" s="121"/>
      <c r="O304" s="122"/>
      <c r="P304" s="122"/>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row>
    <row r="305" spans="2:50" x14ac:dyDescent="0.2">
      <c r="B305" s="3"/>
      <c r="C305" s="3"/>
      <c r="D305" s="118" t="s">
        <v>301</v>
      </c>
      <c r="E305" s="118"/>
      <c r="F305" s="118" t="s">
        <v>436</v>
      </c>
      <c r="G305" s="118">
        <f t="shared" si="23"/>
        <v>0.97</v>
      </c>
      <c r="H305" s="15"/>
      <c r="I305" s="15"/>
      <c r="J305" s="123"/>
      <c r="K305" s="123"/>
      <c r="L305" s="123"/>
      <c r="M305" s="124"/>
      <c r="N305" s="121"/>
      <c r="O305" s="122"/>
      <c r="P305" s="122"/>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row>
    <row r="306" spans="2:50" x14ac:dyDescent="0.2">
      <c r="B306" s="3"/>
      <c r="C306" s="3"/>
      <c r="D306" s="118" t="s">
        <v>302</v>
      </c>
      <c r="E306" s="118"/>
      <c r="F306" s="118" t="s">
        <v>447</v>
      </c>
      <c r="G306" s="118">
        <f t="shared" si="23"/>
        <v>0.99</v>
      </c>
      <c r="H306" s="15"/>
      <c r="I306" s="15"/>
      <c r="J306" s="123"/>
      <c r="K306" s="123"/>
      <c r="L306" s="123"/>
      <c r="M306" s="124"/>
      <c r="N306" s="121"/>
      <c r="O306" s="122"/>
      <c r="P306" s="122"/>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row>
    <row r="307" spans="2:50" x14ac:dyDescent="0.2">
      <c r="B307" s="3"/>
      <c r="C307" s="3"/>
      <c r="D307" s="118" t="s">
        <v>303</v>
      </c>
      <c r="E307" s="118"/>
      <c r="F307" s="118" t="s">
        <v>447</v>
      </c>
      <c r="G307" s="118">
        <f t="shared" si="23"/>
        <v>0.99</v>
      </c>
      <c r="H307" s="15"/>
      <c r="I307" s="15"/>
      <c r="J307" s="123"/>
      <c r="K307" s="123"/>
      <c r="L307" s="123"/>
      <c r="M307" s="124"/>
      <c r="N307" s="121"/>
      <c r="O307" s="122"/>
      <c r="P307" s="122"/>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row>
    <row r="308" spans="2:50" x14ac:dyDescent="0.2">
      <c r="B308" s="3"/>
      <c r="C308" s="3"/>
      <c r="D308" s="118" t="s">
        <v>304</v>
      </c>
      <c r="E308" s="118"/>
      <c r="F308" s="118" t="s">
        <v>399</v>
      </c>
      <c r="G308" s="118">
        <f t="shared" si="23"/>
        <v>1.07</v>
      </c>
      <c r="H308" s="15"/>
      <c r="I308" s="15"/>
      <c r="J308" s="123"/>
      <c r="K308" s="123"/>
      <c r="L308" s="123"/>
      <c r="M308" s="124"/>
      <c r="N308" s="121"/>
      <c r="O308" s="122"/>
      <c r="P308" s="122"/>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row>
    <row r="309" spans="2:50" x14ac:dyDescent="0.2">
      <c r="B309" s="3"/>
      <c r="C309" s="3"/>
      <c r="D309" s="118" t="s">
        <v>305</v>
      </c>
      <c r="E309" s="118"/>
      <c r="F309" s="118" t="s">
        <v>396</v>
      </c>
      <c r="G309" s="118">
        <f t="shared" si="23"/>
        <v>0.97</v>
      </c>
      <c r="H309" s="15"/>
      <c r="I309" s="15"/>
      <c r="J309" s="123"/>
      <c r="K309" s="123"/>
      <c r="L309" s="123"/>
      <c r="M309" s="124"/>
      <c r="N309" s="121"/>
      <c r="O309" s="122"/>
      <c r="P309" s="122"/>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row>
    <row r="310" spans="2:50" x14ac:dyDescent="0.2">
      <c r="B310" s="3"/>
      <c r="C310" s="3"/>
      <c r="D310" s="118" t="s">
        <v>306</v>
      </c>
      <c r="E310" s="118"/>
      <c r="F310" s="118" t="s">
        <v>439</v>
      </c>
      <c r="G310" s="118">
        <f t="shared" si="23"/>
        <v>1.03</v>
      </c>
      <c r="H310" s="15"/>
      <c r="I310" s="15"/>
      <c r="J310" s="123"/>
      <c r="K310" s="123"/>
      <c r="L310" s="123"/>
      <c r="M310" s="124"/>
      <c r="N310" s="121"/>
      <c r="O310" s="122"/>
      <c r="P310" s="122"/>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row>
    <row r="311" spans="2:50" x14ac:dyDescent="0.2">
      <c r="B311" s="3"/>
      <c r="C311" s="3"/>
      <c r="D311" s="118" t="s">
        <v>307</v>
      </c>
      <c r="E311" s="118"/>
      <c r="F311" s="118" t="s">
        <v>447</v>
      </c>
      <c r="G311" s="118">
        <f t="shared" si="23"/>
        <v>0.99</v>
      </c>
      <c r="H311" s="15"/>
      <c r="I311" s="15"/>
      <c r="J311" s="123"/>
      <c r="K311" s="123"/>
      <c r="L311" s="123"/>
      <c r="M311" s="124"/>
      <c r="N311" s="121"/>
      <c r="O311" s="122"/>
      <c r="P311" s="122"/>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row>
    <row r="312" spans="2:50" x14ac:dyDescent="0.2">
      <c r="B312" s="3"/>
      <c r="C312" s="3"/>
      <c r="D312" s="118" t="s">
        <v>308</v>
      </c>
      <c r="E312" s="118"/>
      <c r="F312" s="118" t="s">
        <v>452</v>
      </c>
      <c r="G312" s="118">
        <f t="shared" si="23"/>
        <v>1.04</v>
      </c>
      <c r="H312" s="15"/>
      <c r="I312" s="15"/>
      <c r="J312" s="123"/>
      <c r="K312" s="123"/>
      <c r="L312" s="123"/>
      <c r="M312" s="124"/>
      <c r="N312" s="121"/>
      <c r="O312" s="122"/>
      <c r="P312" s="122"/>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row>
    <row r="313" spans="2:50" x14ac:dyDescent="0.2">
      <c r="B313" s="3"/>
      <c r="C313" s="3"/>
      <c r="D313" s="118" t="s">
        <v>309</v>
      </c>
      <c r="E313" s="118"/>
      <c r="F313" s="118" t="s">
        <v>395</v>
      </c>
      <c r="G313" s="118">
        <f t="shared" si="23"/>
        <v>1.01</v>
      </c>
      <c r="H313" s="15"/>
      <c r="I313" s="15"/>
      <c r="J313" s="123"/>
      <c r="K313" s="123"/>
      <c r="L313" s="123"/>
      <c r="M313" s="124"/>
      <c r="N313" s="121"/>
      <c r="O313" s="122"/>
      <c r="P313" s="122"/>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row>
    <row r="314" spans="2:50" x14ac:dyDescent="0.2">
      <c r="B314" s="3"/>
      <c r="C314" s="3"/>
      <c r="D314" s="118" t="s">
        <v>310</v>
      </c>
      <c r="E314" s="118"/>
      <c r="F314" s="118" t="s">
        <v>448</v>
      </c>
      <c r="G314" s="118">
        <f t="shared" si="23"/>
        <v>0.98</v>
      </c>
      <c r="H314" s="15"/>
      <c r="I314" s="15"/>
      <c r="J314" s="123"/>
      <c r="K314" s="123"/>
      <c r="L314" s="123"/>
      <c r="M314" s="124"/>
      <c r="N314" s="121"/>
      <c r="O314" s="122"/>
      <c r="P314" s="122"/>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row>
    <row r="315" spans="2:50" x14ac:dyDescent="0.2">
      <c r="B315" s="3"/>
      <c r="C315" s="3"/>
      <c r="D315" s="118" t="s">
        <v>311</v>
      </c>
      <c r="E315" s="118"/>
      <c r="F315" s="118" t="s">
        <v>450</v>
      </c>
      <c r="G315" s="118">
        <f t="shared" si="23"/>
        <v>0.92</v>
      </c>
      <c r="H315" s="15"/>
      <c r="I315" s="15"/>
      <c r="J315" s="123"/>
      <c r="K315" s="123"/>
      <c r="L315" s="123"/>
      <c r="M315" s="124"/>
      <c r="N315" s="121"/>
      <c r="O315" s="122"/>
      <c r="P315" s="122"/>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row>
    <row r="316" spans="2:50" x14ac:dyDescent="0.2">
      <c r="B316" s="3"/>
      <c r="C316" s="3"/>
      <c r="D316" s="118" t="s">
        <v>312</v>
      </c>
      <c r="E316" s="118"/>
      <c r="F316" s="118" t="s">
        <v>449</v>
      </c>
      <c r="G316" s="118">
        <f t="shared" si="23"/>
        <v>1.22</v>
      </c>
      <c r="H316" s="15"/>
      <c r="I316" s="15"/>
      <c r="J316" s="123"/>
      <c r="K316" s="123"/>
      <c r="L316" s="123"/>
      <c r="M316" s="124"/>
      <c r="N316" s="121"/>
      <c r="O316" s="122"/>
      <c r="P316" s="122"/>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row>
    <row r="317" spans="2:50" x14ac:dyDescent="0.2">
      <c r="B317" s="3"/>
      <c r="C317" s="3"/>
      <c r="D317" s="118" t="s">
        <v>313</v>
      </c>
      <c r="E317" s="118"/>
      <c r="F317" s="118" t="s">
        <v>430</v>
      </c>
      <c r="G317" s="118">
        <f t="shared" si="23"/>
        <v>1.1399999999999999</v>
      </c>
      <c r="H317" s="15"/>
      <c r="I317" s="15"/>
      <c r="J317" s="123"/>
      <c r="K317" s="123"/>
      <c r="L317" s="123"/>
      <c r="M317" s="124"/>
      <c r="N317" s="121"/>
      <c r="O317" s="122"/>
      <c r="P317" s="122"/>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row>
    <row r="318" spans="2:50" x14ac:dyDescent="0.2">
      <c r="B318" s="3"/>
      <c r="C318" s="3"/>
      <c r="D318" s="118" t="s">
        <v>314</v>
      </c>
      <c r="E318" s="118"/>
      <c r="F318" s="118" t="s">
        <v>401</v>
      </c>
      <c r="G318" s="118">
        <f t="shared" si="23"/>
        <v>1.17</v>
      </c>
      <c r="H318" s="15"/>
      <c r="I318" s="15"/>
      <c r="J318" s="123"/>
      <c r="K318" s="123"/>
      <c r="L318" s="123"/>
      <c r="M318" s="124"/>
      <c r="N318" s="121"/>
      <c r="O318" s="122"/>
      <c r="P318" s="122"/>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row>
    <row r="319" spans="2:50" x14ac:dyDescent="0.2">
      <c r="B319" s="3"/>
      <c r="C319" s="3"/>
      <c r="D319" s="118" t="s">
        <v>315</v>
      </c>
      <c r="E319" s="118"/>
      <c r="F319" s="118" t="s">
        <v>357</v>
      </c>
      <c r="G319" s="118">
        <f t="shared" si="23"/>
        <v>1</v>
      </c>
      <c r="H319" s="15"/>
      <c r="I319" s="15"/>
      <c r="J319" s="123"/>
      <c r="K319" s="123"/>
      <c r="L319" s="123"/>
      <c r="M319" s="124"/>
      <c r="N319" s="121"/>
      <c r="O319" s="122"/>
      <c r="P319" s="122"/>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row>
    <row r="320" spans="2:50" x14ac:dyDescent="0.2">
      <c r="B320" s="3"/>
      <c r="C320" s="3"/>
      <c r="D320" s="118" t="s">
        <v>316</v>
      </c>
      <c r="E320" s="118"/>
      <c r="F320" s="118" t="s">
        <v>396</v>
      </c>
      <c r="G320" s="118">
        <f t="shared" si="23"/>
        <v>0.97</v>
      </c>
      <c r="H320" s="15"/>
      <c r="I320" s="15"/>
      <c r="J320" s="123"/>
      <c r="K320" s="123"/>
      <c r="L320" s="123"/>
      <c r="M320" s="124"/>
      <c r="N320" s="121"/>
      <c r="O320" s="122"/>
      <c r="P320" s="122"/>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row>
    <row r="321" spans="2:50" x14ac:dyDescent="0.2">
      <c r="B321" s="3"/>
      <c r="C321" s="3"/>
      <c r="D321" s="118" t="s">
        <v>317</v>
      </c>
      <c r="E321" s="118"/>
      <c r="F321" s="118" t="s">
        <v>447</v>
      </c>
      <c r="G321" s="118">
        <f t="shared" si="23"/>
        <v>0.99</v>
      </c>
      <c r="H321" s="15"/>
      <c r="I321" s="15"/>
      <c r="J321" s="123"/>
      <c r="K321" s="123"/>
      <c r="L321" s="123"/>
      <c r="M321" s="124"/>
      <c r="N321" s="121"/>
      <c r="O321" s="122"/>
      <c r="P321" s="122"/>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row>
    <row r="322" spans="2:50" x14ac:dyDescent="0.2">
      <c r="B322" s="3"/>
      <c r="C322" s="3"/>
      <c r="D322" s="118" t="s">
        <v>318</v>
      </c>
      <c r="E322" s="118"/>
      <c r="F322" s="118" t="s">
        <v>449</v>
      </c>
      <c r="G322" s="118">
        <f t="shared" si="23"/>
        <v>1.22</v>
      </c>
      <c r="H322" s="15"/>
      <c r="I322" s="15"/>
      <c r="J322" s="123"/>
      <c r="K322" s="123"/>
      <c r="L322" s="123"/>
      <c r="M322" s="124"/>
      <c r="N322" s="121"/>
      <c r="O322" s="122"/>
      <c r="P322" s="122"/>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row>
    <row r="323" spans="2:50" x14ac:dyDescent="0.2">
      <c r="B323" s="3"/>
      <c r="C323" s="3"/>
      <c r="D323" s="118" t="s">
        <v>319</v>
      </c>
      <c r="E323" s="118"/>
      <c r="F323" s="118" t="s">
        <v>445</v>
      </c>
      <c r="G323" s="118">
        <f t="shared" si="23"/>
        <v>0.98</v>
      </c>
      <c r="H323" s="15"/>
      <c r="I323" s="15"/>
      <c r="J323" s="123"/>
      <c r="K323" s="123"/>
      <c r="L323" s="123"/>
      <c r="M323" s="124"/>
      <c r="N323" s="121"/>
      <c r="O323" s="122"/>
      <c r="P323" s="122"/>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row>
    <row r="324" spans="2:50" x14ac:dyDescent="0.2">
      <c r="B324" s="3"/>
      <c r="C324" s="3"/>
      <c r="D324" s="118" t="s">
        <v>320</v>
      </c>
      <c r="E324" s="118"/>
      <c r="F324" s="118" t="s">
        <v>389</v>
      </c>
      <c r="G324" s="118">
        <f t="shared" si="23"/>
        <v>1</v>
      </c>
      <c r="H324" s="15"/>
      <c r="I324" s="15"/>
      <c r="J324" s="123"/>
      <c r="K324" s="123"/>
      <c r="L324" s="123"/>
      <c r="M324" s="124"/>
      <c r="N324" s="121"/>
      <c r="O324" s="122"/>
      <c r="P324" s="122"/>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row>
    <row r="325" spans="2:50" x14ac:dyDescent="0.2">
      <c r="B325" s="3"/>
      <c r="C325" s="3"/>
      <c r="D325" s="118" t="s">
        <v>321</v>
      </c>
      <c r="E325" s="118"/>
      <c r="F325" s="118" t="s">
        <v>276</v>
      </c>
      <c r="G325" s="118">
        <f t="shared" si="23"/>
        <v>1.01</v>
      </c>
      <c r="H325" s="15"/>
      <c r="I325" s="15"/>
      <c r="J325" s="123"/>
      <c r="K325" s="123"/>
      <c r="L325" s="123"/>
      <c r="M325" s="124"/>
      <c r="N325" s="121"/>
      <c r="O325" s="122"/>
      <c r="P325" s="122"/>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row>
    <row r="326" spans="2:50" x14ac:dyDescent="0.2">
      <c r="B326" s="3"/>
      <c r="C326" s="3"/>
      <c r="D326" s="118" t="s">
        <v>322</v>
      </c>
      <c r="E326" s="118"/>
      <c r="F326" s="118" t="s">
        <v>394</v>
      </c>
      <c r="G326" s="118">
        <f t="shared" si="23"/>
        <v>1.04</v>
      </c>
      <c r="H326" s="15"/>
      <c r="I326" s="15"/>
      <c r="J326" s="123"/>
      <c r="K326" s="123"/>
      <c r="L326" s="123"/>
      <c r="M326" s="124"/>
      <c r="N326" s="121"/>
      <c r="O326" s="122"/>
      <c r="P326" s="122"/>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row>
    <row r="327" spans="2:50" x14ac:dyDescent="0.2">
      <c r="B327" s="3"/>
      <c r="C327" s="3"/>
      <c r="D327" s="118" t="s">
        <v>323</v>
      </c>
      <c r="E327" s="118"/>
      <c r="F327" s="118" t="s">
        <v>397</v>
      </c>
      <c r="G327" s="118">
        <f t="shared" si="23"/>
        <v>1.1299999999999999</v>
      </c>
      <c r="H327" s="15"/>
      <c r="I327" s="15"/>
      <c r="J327" s="123"/>
      <c r="K327" s="123"/>
      <c r="L327" s="123"/>
      <c r="M327" s="124"/>
      <c r="N327" s="121"/>
      <c r="O327" s="122"/>
      <c r="P327" s="122"/>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row>
    <row r="328" spans="2:50" x14ac:dyDescent="0.2">
      <c r="B328" s="3"/>
      <c r="C328" s="3"/>
      <c r="D328" s="118" t="s">
        <v>324</v>
      </c>
      <c r="E328" s="118"/>
      <c r="F328" s="118" t="s">
        <v>395</v>
      </c>
      <c r="G328" s="118">
        <f t="shared" si="23"/>
        <v>1.01</v>
      </c>
      <c r="H328" s="15"/>
      <c r="I328" s="15"/>
      <c r="J328" s="123"/>
      <c r="K328" s="123"/>
      <c r="L328" s="123"/>
      <c r="M328" s="124"/>
      <c r="N328" s="121"/>
      <c r="O328" s="122"/>
      <c r="P328" s="122"/>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row>
    <row r="329" spans="2:50" x14ac:dyDescent="0.2">
      <c r="B329" s="3"/>
      <c r="C329" s="3"/>
      <c r="D329" s="118" t="s">
        <v>325</v>
      </c>
      <c r="E329" s="118"/>
      <c r="F329" s="118" t="s">
        <v>401</v>
      </c>
      <c r="G329" s="118">
        <f t="shared" si="23"/>
        <v>1.17</v>
      </c>
      <c r="H329" s="15"/>
      <c r="I329" s="15"/>
      <c r="J329" s="123"/>
      <c r="K329" s="123"/>
      <c r="L329" s="123"/>
      <c r="M329" s="124"/>
      <c r="N329" s="121"/>
      <c r="O329" s="122"/>
      <c r="P329" s="122"/>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row>
    <row r="330" spans="2:50" x14ac:dyDescent="0.2">
      <c r="B330" s="3"/>
      <c r="C330" s="3"/>
      <c r="D330" s="118" t="s">
        <v>326</v>
      </c>
      <c r="E330" s="118"/>
      <c r="F330" s="118" t="s">
        <v>399</v>
      </c>
      <c r="G330" s="118">
        <f t="shared" si="23"/>
        <v>1.07</v>
      </c>
      <c r="H330" s="15"/>
      <c r="I330" s="15"/>
      <c r="J330" s="123"/>
      <c r="K330" s="123"/>
      <c r="L330" s="123"/>
      <c r="M330" s="124"/>
      <c r="N330" s="121"/>
      <c r="O330" s="122"/>
      <c r="P330" s="122"/>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row>
    <row r="331" spans="2:50" x14ac:dyDescent="0.2">
      <c r="B331" s="3"/>
      <c r="C331" s="3"/>
      <c r="D331" s="118" t="s">
        <v>327</v>
      </c>
      <c r="E331" s="118"/>
      <c r="F331" s="118" t="s">
        <v>394</v>
      </c>
      <c r="G331" s="118">
        <f t="shared" si="23"/>
        <v>1.04</v>
      </c>
      <c r="H331" s="15"/>
      <c r="I331" s="15"/>
      <c r="J331" s="123"/>
      <c r="K331" s="123"/>
      <c r="L331" s="123"/>
      <c r="M331" s="124"/>
      <c r="N331" s="121"/>
      <c r="O331" s="122"/>
      <c r="P331" s="122"/>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row>
    <row r="332" spans="2:50" x14ac:dyDescent="0.2">
      <c r="B332" s="3"/>
      <c r="C332" s="3"/>
      <c r="D332" s="118" t="s">
        <v>328</v>
      </c>
      <c r="E332" s="118"/>
      <c r="F332" s="118" t="s">
        <v>401</v>
      </c>
      <c r="G332" s="118">
        <f t="shared" si="23"/>
        <v>1.17</v>
      </c>
      <c r="H332" s="15"/>
      <c r="I332" s="15"/>
      <c r="J332" s="123"/>
      <c r="K332" s="123"/>
      <c r="L332" s="123"/>
      <c r="M332" s="124"/>
      <c r="N332" s="121"/>
      <c r="O332" s="122"/>
      <c r="P332" s="122"/>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row>
    <row r="333" spans="2:50" x14ac:dyDescent="0.2">
      <c r="B333" s="3"/>
      <c r="C333" s="3"/>
      <c r="D333" s="118" t="s">
        <v>329</v>
      </c>
      <c r="E333" s="118"/>
      <c r="F333" s="118" t="s">
        <v>389</v>
      </c>
      <c r="G333" s="118">
        <f t="shared" si="23"/>
        <v>1</v>
      </c>
      <c r="H333" s="15"/>
      <c r="I333" s="15"/>
      <c r="J333" s="123"/>
      <c r="K333" s="123"/>
      <c r="L333" s="123"/>
      <c r="M333" s="124"/>
      <c r="N333" s="121"/>
      <c r="O333" s="122"/>
      <c r="P333" s="122"/>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row>
    <row r="334" spans="2:50" x14ac:dyDescent="0.2">
      <c r="B334" s="3"/>
      <c r="C334" s="3"/>
      <c r="D334" s="118" t="s">
        <v>330</v>
      </c>
      <c r="E334" s="118"/>
      <c r="F334" s="118" t="s">
        <v>389</v>
      </c>
      <c r="G334" s="118">
        <f t="shared" si="23"/>
        <v>1</v>
      </c>
      <c r="H334" s="15"/>
      <c r="I334" s="15"/>
      <c r="J334" s="123"/>
      <c r="K334" s="123"/>
      <c r="L334" s="123"/>
      <c r="M334" s="124"/>
      <c r="N334" s="121"/>
      <c r="O334" s="122"/>
      <c r="P334" s="122"/>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row>
    <row r="335" spans="2:50" x14ac:dyDescent="0.2">
      <c r="B335" s="3"/>
      <c r="C335" s="3"/>
      <c r="D335" s="118" t="s">
        <v>331</v>
      </c>
      <c r="E335" s="118"/>
      <c r="F335" s="118" t="s">
        <v>431</v>
      </c>
      <c r="G335" s="118">
        <f t="shared" si="23"/>
        <v>1.21</v>
      </c>
      <c r="H335" s="15"/>
      <c r="I335" s="15"/>
      <c r="J335" s="123"/>
      <c r="K335" s="123"/>
      <c r="L335" s="123"/>
      <c r="M335" s="124"/>
      <c r="N335" s="121"/>
      <c r="O335" s="122"/>
      <c r="P335" s="122"/>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row>
    <row r="336" spans="2:50" x14ac:dyDescent="0.2">
      <c r="B336" s="3"/>
      <c r="C336" s="3"/>
      <c r="D336" s="118" t="s">
        <v>332</v>
      </c>
      <c r="E336" s="118"/>
      <c r="F336" s="118" t="s">
        <v>396</v>
      </c>
      <c r="G336" s="118">
        <f t="shared" si="23"/>
        <v>0.97</v>
      </c>
      <c r="H336" s="15"/>
      <c r="I336" s="15"/>
      <c r="J336" s="123"/>
      <c r="K336" s="123"/>
      <c r="L336" s="123"/>
      <c r="M336" s="124"/>
      <c r="N336" s="121"/>
      <c r="O336" s="122"/>
      <c r="P336" s="122"/>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row>
    <row r="337" spans="2:50" x14ac:dyDescent="0.2">
      <c r="B337" s="3"/>
      <c r="C337" s="3"/>
      <c r="D337" s="118" t="s">
        <v>333</v>
      </c>
      <c r="E337" s="118"/>
      <c r="F337" s="118" t="s">
        <v>401</v>
      </c>
      <c r="G337" s="118">
        <f t="shared" si="23"/>
        <v>1.17</v>
      </c>
      <c r="H337" s="15"/>
      <c r="I337" s="15"/>
      <c r="J337" s="123"/>
      <c r="K337" s="123"/>
      <c r="L337" s="123"/>
      <c r="M337" s="124"/>
      <c r="N337" s="121"/>
      <c r="O337" s="122"/>
      <c r="P337" s="122"/>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row>
    <row r="338" spans="2:50" x14ac:dyDescent="0.2">
      <c r="B338" s="3"/>
      <c r="C338" s="3"/>
      <c r="D338" s="118" t="s">
        <v>334</v>
      </c>
      <c r="E338" s="118"/>
      <c r="F338" s="118" t="s">
        <v>394</v>
      </c>
      <c r="G338" s="118">
        <f t="shared" si="23"/>
        <v>1.04</v>
      </c>
      <c r="H338" s="15"/>
      <c r="I338" s="15"/>
      <c r="J338" s="123"/>
      <c r="K338" s="123"/>
      <c r="L338" s="123"/>
      <c r="M338" s="124"/>
      <c r="N338" s="121"/>
      <c r="O338" s="122"/>
      <c r="P338" s="122"/>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row>
    <row r="339" spans="2:50" x14ac:dyDescent="0.2">
      <c r="B339" s="3"/>
      <c r="C339" s="3"/>
      <c r="D339" s="118" t="s">
        <v>335</v>
      </c>
      <c r="E339" s="118"/>
      <c r="F339" s="118" t="s">
        <v>443</v>
      </c>
      <c r="G339" s="118">
        <f t="shared" si="23"/>
        <v>1.1100000000000001</v>
      </c>
      <c r="H339" s="15"/>
      <c r="I339" s="15"/>
      <c r="J339" s="123"/>
      <c r="K339" s="123"/>
      <c r="L339" s="123"/>
      <c r="M339" s="124"/>
      <c r="N339" s="121"/>
      <c r="O339" s="122"/>
      <c r="P339" s="122"/>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row>
    <row r="340" spans="2:50" x14ac:dyDescent="0.2">
      <c r="B340" s="3"/>
      <c r="C340" s="3"/>
      <c r="D340" s="118" t="s">
        <v>336</v>
      </c>
      <c r="E340" s="118"/>
      <c r="F340" s="118" t="s">
        <v>455</v>
      </c>
      <c r="G340" s="118">
        <f t="shared" si="23"/>
        <v>0.96</v>
      </c>
      <c r="H340" s="15"/>
      <c r="I340" s="15"/>
      <c r="J340" s="123"/>
      <c r="K340" s="123"/>
      <c r="L340" s="123"/>
      <c r="M340" s="124"/>
      <c r="N340" s="121"/>
      <c r="O340" s="122"/>
      <c r="P340" s="122"/>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row>
    <row r="341" spans="2:50" x14ac:dyDescent="0.2">
      <c r="B341" s="3"/>
      <c r="C341" s="3"/>
      <c r="D341" s="118" t="s">
        <v>337</v>
      </c>
      <c r="E341" s="118"/>
      <c r="F341" s="118" t="s">
        <v>453</v>
      </c>
      <c r="G341" s="118">
        <f t="shared" si="23"/>
        <v>1.01</v>
      </c>
      <c r="H341" s="15"/>
      <c r="I341" s="15"/>
      <c r="J341" s="123"/>
      <c r="K341" s="123"/>
      <c r="L341" s="123"/>
      <c r="M341" s="124"/>
      <c r="N341" s="121"/>
      <c r="O341" s="122"/>
      <c r="P341" s="122"/>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row>
    <row r="342" spans="2:50" x14ac:dyDescent="0.2">
      <c r="B342" s="3"/>
      <c r="C342" s="3"/>
      <c r="D342" s="118" t="s">
        <v>338</v>
      </c>
      <c r="E342" s="118"/>
      <c r="F342" s="118" t="s">
        <v>432</v>
      </c>
      <c r="G342" s="118">
        <f t="shared" si="23"/>
        <v>1.1299999999999999</v>
      </c>
      <c r="H342" s="15"/>
      <c r="I342" s="15"/>
      <c r="J342" s="123"/>
      <c r="K342" s="123"/>
      <c r="L342" s="123"/>
      <c r="M342" s="124"/>
      <c r="N342" s="121"/>
      <c r="O342" s="122"/>
      <c r="P342" s="122"/>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row>
    <row r="343" spans="2:50" x14ac:dyDescent="0.2">
      <c r="B343" s="3"/>
      <c r="C343" s="3"/>
      <c r="D343" s="118" t="s">
        <v>339</v>
      </c>
      <c r="E343" s="118"/>
      <c r="F343" s="118" t="s">
        <v>433</v>
      </c>
      <c r="G343" s="118">
        <f t="shared" si="23"/>
        <v>1.25</v>
      </c>
      <c r="H343" s="15"/>
      <c r="I343" s="15"/>
      <c r="J343" s="123"/>
      <c r="K343" s="123"/>
      <c r="L343" s="123"/>
      <c r="M343" s="124"/>
      <c r="N343" s="121"/>
      <c r="O343" s="122"/>
      <c r="P343" s="122"/>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row>
    <row r="344" spans="2:50" x14ac:dyDescent="0.2">
      <c r="B344" s="3"/>
      <c r="C344" s="3"/>
      <c r="D344" s="118" t="s">
        <v>340</v>
      </c>
      <c r="E344" s="118"/>
      <c r="F344" s="118" t="s">
        <v>385</v>
      </c>
      <c r="G344" s="118">
        <f t="shared" si="23"/>
        <v>0.98</v>
      </c>
      <c r="H344" s="15"/>
      <c r="I344" s="15"/>
      <c r="J344" s="123"/>
      <c r="K344" s="123"/>
      <c r="L344" s="123"/>
      <c r="M344" s="124"/>
      <c r="N344" s="121"/>
      <c r="O344" s="122"/>
      <c r="P344" s="122"/>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row>
    <row r="345" spans="2:50" x14ac:dyDescent="0.2">
      <c r="B345" s="3"/>
      <c r="C345" s="3"/>
      <c r="D345" s="118" t="s">
        <v>341</v>
      </c>
      <c r="E345" s="118"/>
      <c r="F345" s="118" t="s">
        <v>452</v>
      </c>
      <c r="G345" s="118">
        <f t="shared" si="23"/>
        <v>1.04</v>
      </c>
      <c r="H345" s="15"/>
      <c r="I345" s="15"/>
      <c r="J345" s="123"/>
      <c r="K345" s="123"/>
      <c r="L345" s="123"/>
      <c r="M345" s="124"/>
      <c r="N345" s="121"/>
      <c r="O345" s="122"/>
      <c r="P345" s="122"/>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row>
    <row r="346" spans="2:50" x14ac:dyDescent="0.2">
      <c r="B346" s="3"/>
      <c r="C346" s="3"/>
      <c r="D346" s="118" t="s">
        <v>342</v>
      </c>
      <c r="E346" s="118"/>
      <c r="F346" s="118" t="s">
        <v>399</v>
      </c>
      <c r="G346" s="118">
        <f t="shared" si="23"/>
        <v>1.07</v>
      </c>
      <c r="H346" s="15"/>
      <c r="I346" s="15"/>
      <c r="J346" s="123"/>
      <c r="K346" s="123"/>
      <c r="L346" s="123"/>
      <c r="M346" s="124"/>
      <c r="N346" s="121"/>
      <c r="O346" s="122"/>
      <c r="P346" s="122"/>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row>
    <row r="347" spans="2:50" x14ac:dyDescent="0.2">
      <c r="B347" s="3"/>
      <c r="C347" s="3"/>
      <c r="D347" s="118" t="s">
        <v>343</v>
      </c>
      <c r="E347" s="118"/>
      <c r="F347" s="118" t="s">
        <v>448</v>
      </c>
      <c r="G347" s="118">
        <f t="shared" si="23"/>
        <v>0.98</v>
      </c>
      <c r="H347" s="15"/>
      <c r="I347" s="15"/>
      <c r="J347" s="123"/>
      <c r="K347" s="123"/>
      <c r="L347" s="123"/>
      <c r="M347" s="124"/>
      <c r="N347" s="121"/>
      <c r="O347" s="122"/>
      <c r="P347" s="122"/>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row>
    <row r="348" spans="2:50" x14ac:dyDescent="0.2">
      <c r="B348" s="3"/>
      <c r="C348" s="3"/>
      <c r="D348" s="118" t="s">
        <v>344</v>
      </c>
      <c r="E348" s="118"/>
      <c r="F348" s="118" t="s">
        <v>449</v>
      </c>
      <c r="G348" s="118">
        <f t="shared" si="23"/>
        <v>1.22</v>
      </c>
      <c r="H348" s="15"/>
      <c r="I348" s="15"/>
      <c r="J348" s="123"/>
      <c r="K348" s="123"/>
      <c r="L348" s="123"/>
      <c r="M348" s="124"/>
      <c r="N348" s="121"/>
      <c r="O348" s="122"/>
      <c r="P348" s="122"/>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row>
    <row r="349" spans="2:50" x14ac:dyDescent="0.2">
      <c r="B349" s="3"/>
      <c r="C349" s="3"/>
      <c r="D349" s="118" t="s">
        <v>345</v>
      </c>
      <c r="E349" s="118"/>
      <c r="F349" s="118" t="s">
        <v>392</v>
      </c>
      <c r="G349" s="118">
        <f t="shared" si="23"/>
        <v>1.17</v>
      </c>
      <c r="H349" s="15"/>
      <c r="I349" s="15"/>
      <c r="J349" s="123"/>
      <c r="K349" s="123"/>
      <c r="L349" s="123"/>
      <c r="M349" s="124"/>
      <c r="N349" s="121"/>
      <c r="O349" s="122"/>
      <c r="P349" s="122"/>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row>
    <row r="350" spans="2:50" x14ac:dyDescent="0.2">
      <c r="B350" s="3"/>
      <c r="C350" s="3"/>
      <c r="D350" s="118" t="s">
        <v>346</v>
      </c>
      <c r="E350" s="118"/>
      <c r="F350" s="118" t="s">
        <v>440</v>
      </c>
      <c r="G350" s="118">
        <f t="shared" si="23"/>
        <v>0.96</v>
      </c>
      <c r="H350" s="15"/>
      <c r="I350" s="15"/>
      <c r="J350" s="123"/>
      <c r="K350" s="123"/>
      <c r="L350" s="123"/>
      <c r="M350" s="124"/>
      <c r="N350" s="121"/>
      <c r="O350" s="122"/>
      <c r="P350" s="122"/>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row>
    <row r="351" spans="2:50" x14ac:dyDescent="0.2">
      <c r="B351" s="3"/>
      <c r="C351" s="3"/>
      <c r="D351" s="118" t="s">
        <v>347</v>
      </c>
      <c r="E351" s="118"/>
      <c r="F351" s="118" t="s">
        <v>399</v>
      </c>
      <c r="G351" s="118">
        <f t="shared" si="23"/>
        <v>1.07</v>
      </c>
      <c r="H351" s="15"/>
      <c r="I351" s="15"/>
      <c r="J351" s="123"/>
      <c r="K351" s="123"/>
      <c r="L351" s="123"/>
      <c r="M351" s="124"/>
      <c r="N351" s="121"/>
      <c r="O351" s="122"/>
      <c r="P351" s="122"/>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row>
    <row r="352" spans="2:50" x14ac:dyDescent="0.2">
      <c r="B352" s="3"/>
      <c r="C352" s="3"/>
      <c r="D352" s="118" t="s">
        <v>348</v>
      </c>
      <c r="E352" s="118"/>
      <c r="F352" s="118" t="s">
        <v>382</v>
      </c>
      <c r="G352" s="118">
        <f t="shared" si="23"/>
        <v>1.1599999999999999</v>
      </c>
      <c r="H352" s="15"/>
      <c r="I352" s="15"/>
      <c r="J352" s="123"/>
      <c r="K352" s="123"/>
      <c r="L352" s="123"/>
      <c r="M352" s="124"/>
      <c r="N352" s="121"/>
      <c r="O352" s="122"/>
      <c r="P352" s="122"/>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row>
    <row r="353" spans="2:50" x14ac:dyDescent="0.2">
      <c r="B353" s="3"/>
      <c r="C353" s="3"/>
      <c r="D353" s="118" t="s">
        <v>349</v>
      </c>
      <c r="E353" s="118"/>
      <c r="F353" s="118" t="s">
        <v>389</v>
      </c>
      <c r="G353" s="118">
        <f t="shared" si="23"/>
        <v>1</v>
      </c>
      <c r="H353" s="15"/>
      <c r="I353" s="15"/>
      <c r="J353" s="123"/>
      <c r="K353" s="123"/>
      <c r="L353" s="123"/>
      <c r="M353" s="124"/>
      <c r="N353" s="121"/>
      <c r="O353" s="122"/>
      <c r="P353" s="122"/>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row>
    <row r="354" spans="2:50" x14ac:dyDescent="0.2">
      <c r="B354" s="3"/>
      <c r="C354" s="3"/>
      <c r="D354" s="118" t="s">
        <v>350</v>
      </c>
      <c r="E354" s="118"/>
      <c r="F354" s="118" t="s">
        <v>390</v>
      </c>
      <c r="G354" s="118">
        <f t="shared" si="23"/>
        <v>1.02</v>
      </c>
      <c r="H354" s="15"/>
      <c r="I354" s="15"/>
      <c r="J354" s="123"/>
      <c r="K354" s="123"/>
      <c r="L354" s="123"/>
      <c r="M354" s="124"/>
      <c r="N354" s="121"/>
      <c r="O354" s="122"/>
      <c r="P354" s="122"/>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row>
    <row r="355" spans="2:50" x14ac:dyDescent="0.2">
      <c r="B355" s="3"/>
      <c r="C355" s="3"/>
      <c r="D355" s="118" t="s">
        <v>351</v>
      </c>
      <c r="E355" s="118"/>
      <c r="F355" s="118" t="s">
        <v>402</v>
      </c>
      <c r="G355" s="118">
        <f t="shared" si="23"/>
        <v>0.97</v>
      </c>
      <c r="H355" s="15"/>
      <c r="I355" s="15"/>
      <c r="J355" s="123"/>
      <c r="K355" s="123"/>
      <c r="L355" s="123"/>
      <c r="M355" s="124"/>
      <c r="N355" s="121"/>
      <c r="O355" s="122"/>
      <c r="P355" s="122"/>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row>
    <row r="356" spans="2:50" x14ac:dyDescent="0.2">
      <c r="B356" s="3"/>
      <c r="C356" s="3"/>
      <c r="D356" s="118" t="s">
        <v>352</v>
      </c>
      <c r="E356" s="118"/>
      <c r="F356" s="118" t="s">
        <v>435</v>
      </c>
      <c r="G356" s="118">
        <f t="shared" si="23"/>
        <v>0.91</v>
      </c>
      <c r="H356" s="15"/>
      <c r="I356" s="15"/>
      <c r="J356" s="123"/>
      <c r="K356" s="123"/>
      <c r="L356" s="123"/>
      <c r="M356" s="124"/>
      <c r="N356" s="121"/>
      <c r="O356" s="122"/>
      <c r="P356" s="122"/>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row>
    <row r="357" spans="2:50" x14ac:dyDescent="0.2">
      <c r="B357" s="3"/>
      <c r="C357" s="3"/>
      <c r="D357" s="118" t="s">
        <v>353</v>
      </c>
      <c r="E357" s="118"/>
      <c r="F357" s="118" t="s">
        <v>443</v>
      </c>
      <c r="G357" s="118">
        <f t="shared" si="23"/>
        <v>1.1100000000000001</v>
      </c>
      <c r="H357" s="15"/>
      <c r="I357" s="15"/>
      <c r="J357" s="123"/>
      <c r="K357" s="123"/>
      <c r="L357" s="123"/>
      <c r="M357" s="124"/>
      <c r="N357" s="121"/>
      <c r="O357" s="122"/>
      <c r="P357" s="122"/>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row>
    <row r="358" spans="2:50" x14ac:dyDescent="0.2">
      <c r="B358" s="3"/>
      <c r="C358" s="3"/>
      <c r="D358" s="118" t="s">
        <v>354</v>
      </c>
      <c r="E358" s="118"/>
      <c r="F358" s="118" t="s">
        <v>445</v>
      </c>
      <c r="G358" s="118">
        <f t="shared" si="23"/>
        <v>0.98</v>
      </c>
      <c r="H358" s="15"/>
      <c r="I358" s="15"/>
      <c r="J358" s="123"/>
      <c r="K358" s="123"/>
      <c r="L358" s="123"/>
      <c r="M358" s="124"/>
      <c r="N358" s="121"/>
      <c r="O358" s="122"/>
      <c r="P358" s="122"/>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row>
    <row r="359" spans="2:50" x14ac:dyDescent="0.2">
      <c r="B359" s="3"/>
      <c r="C359" s="3"/>
      <c r="D359" s="118" t="s">
        <v>355</v>
      </c>
      <c r="E359" s="118"/>
      <c r="F359" s="118" t="s">
        <v>390</v>
      </c>
      <c r="G359" s="118">
        <f t="shared" si="23"/>
        <v>1.02</v>
      </c>
      <c r="H359" s="15"/>
      <c r="I359" s="15"/>
      <c r="J359" s="123"/>
      <c r="K359" s="123"/>
      <c r="L359" s="123"/>
      <c r="M359" s="124"/>
      <c r="N359" s="121"/>
      <c r="O359" s="122"/>
      <c r="P359" s="122"/>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row>
    <row r="360" spans="2:50" x14ac:dyDescent="0.2">
      <c r="B360" s="3"/>
      <c r="C360" s="3"/>
      <c r="D360" s="118" t="s">
        <v>356</v>
      </c>
      <c r="E360" s="118"/>
      <c r="F360" s="118" t="s">
        <v>396</v>
      </c>
      <c r="G360" s="118">
        <f t="shared" si="23"/>
        <v>0.97</v>
      </c>
      <c r="H360" s="15"/>
      <c r="I360" s="15"/>
      <c r="J360" s="123"/>
      <c r="K360" s="123"/>
      <c r="L360" s="123"/>
      <c r="M360" s="124"/>
      <c r="N360" s="121"/>
      <c r="O360" s="122"/>
      <c r="P360" s="122"/>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row>
    <row r="361" spans="2:50" x14ac:dyDescent="0.2">
      <c r="B361" s="3"/>
      <c r="C361" s="3"/>
      <c r="D361" s="118" t="s">
        <v>357</v>
      </c>
      <c r="E361" s="118"/>
      <c r="F361" s="118" t="s">
        <v>357</v>
      </c>
      <c r="G361" s="118">
        <f t="shared" ref="G361:G376" si="24">LOOKUP(F361,$J$41:$J$121,$L$41:$L$121)</f>
        <v>1</v>
      </c>
      <c r="H361" s="15"/>
      <c r="I361" s="15"/>
      <c r="J361" s="123"/>
      <c r="K361" s="123"/>
      <c r="L361" s="123"/>
      <c r="M361" s="124"/>
      <c r="N361" s="121"/>
      <c r="O361" s="122"/>
      <c r="P361" s="122"/>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row>
    <row r="362" spans="2:50" x14ac:dyDescent="0.2">
      <c r="B362" s="3"/>
      <c r="C362" s="3"/>
      <c r="D362" s="118" t="s">
        <v>358</v>
      </c>
      <c r="E362" s="118"/>
      <c r="F362" s="118" t="s">
        <v>397</v>
      </c>
      <c r="G362" s="118">
        <f t="shared" si="24"/>
        <v>1.1299999999999999</v>
      </c>
      <c r="H362" s="15"/>
      <c r="I362" s="15"/>
      <c r="J362" s="123"/>
      <c r="K362" s="123"/>
      <c r="L362" s="123"/>
      <c r="M362" s="124"/>
      <c r="N362" s="121"/>
      <c r="O362" s="122"/>
      <c r="P362" s="122"/>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row>
    <row r="363" spans="2:50" x14ac:dyDescent="0.2">
      <c r="B363" s="3"/>
      <c r="C363" s="3"/>
      <c r="D363" s="118" t="s">
        <v>359</v>
      </c>
      <c r="E363" s="118"/>
      <c r="F363" s="118" t="s">
        <v>382</v>
      </c>
      <c r="G363" s="118">
        <f t="shared" si="24"/>
        <v>1.1599999999999999</v>
      </c>
      <c r="H363" s="15"/>
      <c r="I363" s="15"/>
      <c r="J363" s="123"/>
      <c r="K363" s="123"/>
      <c r="L363" s="123"/>
      <c r="M363" s="124"/>
      <c r="N363" s="121"/>
      <c r="O363" s="122"/>
      <c r="P363" s="122"/>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row>
    <row r="364" spans="2:50" x14ac:dyDescent="0.2">
      <c r="B364" s="3"/>
      <c r="C364" s="3"/>
      <c r="D364" s="118" t="s">
        <v>360</v>
      </c>
      <c r="E364" s="118"/>
      <c r="F364" s="118" t="s">
        <v>436</v>
      </c>
      <c r="G364" s="118">
        <f t="shared" si="24"/>
        <v>0.97</v>
      </c>
      <c r="H364" s="15"/>
      <c r="I364" s="15"/>
      <c r="J364" s="123"/>
      <c r="K364" s="123"/>
      <c r="L364" s="123"/>
      <c r="M364" s="124"/>
      <c r="N364" s="121"/>
      <c r="O364" s="122"/>
      <c r="P364" s="122"/>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row>
    <row r="365" spans="2:50" x14ac:dyDescent="0.2">
      <c r="B365" s="3"/>
      <c r="C365" s="3"/>
      <c r="D365" s="118" t="s">
        <v>361</v>
      </c>
      <c r="E365" s="118"/>
      <c r="F365" s="118" t="s">
        <v>449</v>
      </c>
      <c r="G365" s="118">
        <f t="shared" si="24"/>
        <v>1.22</v>
      </c>
      <c r="H365" s="15"/>
      <c r="I365" s="15"/>
      <c r="J365" s="123"/>
      <c r="K365" s="123"/>
      <c r="L365" s="123"/>
      <c r="M365" s="124"/>
      <c r="N365" s="121"/>
      <c r="O365" s="122"/>
      <c r="P365" s="122"/>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row>
    <row r="366" spans="2:50" x14ac:dyDescent="0.2">
      <c r="B366" s="3"/>
      <c r="C366" s="3"/>
      <c r="D366" s="118" t="s">
        <v>362</v>
      </c>
      <c r="E366" s="118"/>
      <c r="F366" s="118" t="s">
        <v>382</v>
      </c>
      <c r="G366" s="118">
        <f t="shared" si="24"/>
        <v>1.1599999999999999</v>
      </c>
      <c r="H366" s="15"/>
      <c r="I366" s="15"/>
      <c r="J366" s="123"/>
      <c r="K366" s="123"/>
      <c r="L366" s="123"/>
      <c r="M366" s="124"/>
      <c r="N366" s="121"/>
      <c r="O366" s="122"/>
      <c r="P366" s="122"/>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row>
    <row r="367" spans="2:50" x14ac:dyDescent="0.2">
      <c r="B367" s="3"/>
      <c r="C367" s="3"/>
      <c r="D367" s="118" t="s">
        <v>363</v>
      </c>
      <c r="E367" s="118"/>
      <c r="F367" s="118" t="s">
        <v>453</v>
      </c>
      <c r="G367" s="118">
        <f t="shared" si="24"/>
        <v>1.01</v>
      </c>
      <c r="H367" s="15"/>
      <c r="I367" s="15"/>
      <c r="J367" s="123"/>
      <c r="K367" s="123"/>
      <c r="L367" s="123"/>
      <c r="M367" s="124"/>
      <c r="N367" s="121"/>
      <c r="O367" s="122"/>
      <c r="P367" s="122"/>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row>
    <row r="368" spans="2:50" x14ac:dyDescent="0.2">
      <c r="B368" s="3"/>
      <c r="C368" s="3"/>
      <c r="D368" s="118" t="s">
        <v>364</v>
      </c>
      <c r="E368" s="118"/>
      <c r="F368" s="120" t="s">
        <v>398</v>
      </c>
      <c r="G368" s="118">
        <f t="shared" si="24"/>
        <v>1.02</v>
      </c>
      <c r="H368" s="15"/>
      <c r="I368" s="15"/>
      <c r="J368" s="123"/>
      <c r="K368" s="123"/>
      <c r="L368" s="123"/>
      <c r="M368" s="124"/>
      <c r="N368" s="121"/>
      <c r="O368" s="122"/>
      <c r="P368" s="122"/>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row>
    <row r="369" spans="2:50" x14ac:dyDescent="0.2">
      <c r="B369" s="3"/>
      <c r="C369" s="3"/>
      <c r="D369" s="118" t="s">
        <v>365</v>
      </c>
      <c r="E369" s="118"/>
      <c r="F369" s="118" t="s">
        <v>454</v>
      </c>
      <c r="G369" s="118">
        <f t="shared" si="24"/>
        <v>1.1599999999999999</v>
      </c>
      <c r="H369" s="15"/>
      <c r="I369" s="15"/>
      <c r="J369" s="123"/>
      <c r="K369" s="123"/>
      <c r="L369" s="123"/>
      <c r="M369" s="124"/>
      <c r="N369" s="121"/>
      <c r="O369" s="122"/>
      <c r="P369" s="122"/>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row>
    <row r="370" spans="2:50" x14ac:dyDescent="0.2">
      <c r="B370" s="3"/>
      <c r="C370" s="3"/>
      <c r="D370" s="118" t="s">
        <v>366</v>
      </c>
      <c r="E370" s="118"/>
      <c r="F370" s="120" t="s">
        <v>398</v>
      </c>
      <c r="G370" s="118">
        <f t="shared" si="24"/>
        <v>1.02</v>
      </c>
      <c r="H370" s="15"/>
      <c r="I370" s="15"/>
      <c r="J370" s="123"/>
      <c r="K370" s="123"/>
      <c r="L370" s="123"/>
      <c r="M370" s="124"/>
      <c r="N370" s="121"/>
      <c r="O370" s="122"/>
      <c r="P370" s="122"/>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row>
    <row r="371" spans="2:50" x14ac:dyDescent="0.2">
      <c r="B371" s="3"/>
      <c r="C371" s="3"/>
      <c r="D371" s="118" t="s">
        <v>367</v>
      </c>
      <c r="E371" s="118"/>
      <c r="F371" s="118" t="s">
        <v>383</v>
      </c>
      <c r="G371" s="118">
        <f t="shared" si="24"/>
        <v>1.1399999999999999</v>
      </c>
      <c r="H371" s="15"/>
      <c r="I371" s="15"/>
      <c r="J371" s="123"/>
      <c r="K371" s="123"/>
      <c r="L371" s="123"/>
      <c r="M371" s="124"/>
      <c r="N371" s="121"/>
      <c r="O371" s="122"/>
      <c r="P371" s="122"/>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row>
    <row r="372" spans="2:50" x14ac:dyDescent="0.2">
      <c r="B372" s="3"/>
      <c r="C372" s="3"/>
      <c r="D372" s="118" t="s">
        <v>368</v>
      </c>
      <c r="E372" s="118"/>
      <c r="F372" s="118" t="s">
        <v>402</v>
      </c>
      <c r="G372" s="118">
        <f t="shared" si="24"/>
        <v>0.97</v>
      </c>
      <c r="H372" s="15"/>
      <c r="I372" s="15"/>
      <c r="J372" s="123"/>
      <c r="K372" s="123"/>
      <c r="L372" s="123"/>
      <c r="M372" s="124"/>
      <c r="N372" s="121"/>
      <c r="O372" s="122"/>
      <c r="P372" s="122"/>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row>
    <row r="373" spans="2:50" x14ac:dyDescent="0.2">
      <c r="B373" s="3"/>
      <c r="C373" s="3"/>
      <c r="D373" s="118" t="s">
        <v>369</v>
      </c>
      <c r="E373" s="118"/>
      <c r="F373" s="120" t="s">
        <v>398</v>
      </c>
      <c r="G373" s="118">
        <f t="shared" si="24"/>
        <v>1.02</v>
      </c>
      <c r="H373" s="15"/>
      <c r="I373" s="15"/>
      <c r="J373" s="123"/>
      <c r="K373" s="123"/>
      <c r="L373" s="123"/>
      <c r="M373" s="124"/>
      <c r="N373" s="121"/>
      <c r="O373" s="122"/>
      <c r="P373" s="122"/>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row>
    <row r="374" spans="2:50" x14ac:dyDescent="0.2">
      <c r="B374" s="3"/>
      <c r="C374" s="3"/>
      <c r="D374" s="118" t="s">
        <v>370</v>
      </c>
      <c r="E374" s="118"/>
      <c r="F374" s="118" t="s">
        <v>439</v>
      </c>
      <c r="G374" s="118">
        <f t="shared" si="24"/>
        <v>1.03</v>
      </c>
      <c r="H374" s="15"/>
      <c r="I374" s="15"/>
      <c r="J374" s="123"/>
      <c r="K374" s="123"/>
      <c r="L374" s="123"/>
      <c r="M374" s="124"/>
      <c r="N374" s="121"/>
      <c r="O374" s="122"/>
      <c r="P374" s="122"/>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row>
    <row r="375" spans="2:50" x14ac:dyDescent="0.2">
      <c r="B375" s="3"/>
      <c r="C375" s="3"/>
      <c r="D375" s="118" t="s">
        <v>371</v>
      </c>
      <c r="E375" s="118"/>
      <c r="F375" s="118" t="s">
        <v>439</v>
      </c>
      <c r="G375" s="118">
        <f t="shared" si="24"/>
        <v>1.03</v>
      </c>
      <c r="H375" s="15"/>
      <c r="I375" s="15"/>
      <c r="J375" s="123"/>
      <c r="K375" s="123"/>
      <c r="L375" s="123"/>
      <c r="M375" s="124"/>
      <c r="N375" s="121"/>
      <c r="O375" s="122"/>
      <c r="P375" s="122"/>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row>
    <row r="376" spans="2:50" x14ac:dyDescent="0.2">
      <c r="B376" s="3"/>
      <c r="C376" s="3"/>
      <c r="D376" s="118" t="s">
        <v>472</v>
      </c>
      <c r="E376" s="118"/>
      <c r="F376" s="118"/>
      <c r="G376" s="118" t="e">
        <f t="shared" si="24"/>
        <v>#N/A</v>
      </c>
      <c r="H376" s="15"/>
      <c r="I376" s="15"/>
      <c r="J376" s="123"/>
      <c r="K376" s="123"/>
      <c r="L376" s="123"/>
      <c r="M376" s="124"/>
      <c r="N376" s="121"/>
      <c r="O376" s="122"/>
      <c r="P376" s="122"/>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row>
    <row r="377" spans="2:50" x14ac:dyDescent="0.2">
      <c r="B377" s="3"/>
      <c r="C377" s="3"/>
      <c r="D377" s="3"/>
      <c r="E377" s="3"/>
      <c r="F377" s="3"/>
      <c r="G377" s="3"/>
      <c r="H377" s="3"/>
      <c r="I377" s="3"/>
      <c r="J377" s="125"/>
      <c r="K377" s="125"/>
      <c r="L377" s="125"/>
      <c r="M377" s="124"/>
      <c r="N377" s="121"/>
      <c r="O377" s="122"/>
      <c r="P377" s="122"/>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row>
    <row r="378" spans="2:50" x14ac:dyDescent="0.2">
      <c r="B378" s="3"/>
      <c r="C378" s="3"/>
      <c r="D378" s="3"/>
      <c r="E378" s="3"/>
      <c r="F378" s="3"/>
      <c r="G378" s="3"/>
      <c r="H378" s="3"/>
      <c r="I378" s="3"/>
      <c r="J378" s="121"/>
      <c r="K378" s="121"/>
      <c r="L378" s="121"/>
      <c r="M378" s="122"/>
      <c r="N378" s="121"/>
      <c r="O378" s="122"/>
      <c r="P378" s="122"/>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row>
    <row r="379" spans="2:50" s="121" customFormat="1" x14ac:dyDescent="0.2">
      <c r="M379" s="122"/>
      <c r="O379" s="122"/>
      <c r="P379" s="122"/>
    </row>
    <row r="380" spans="2:50" s="121" customFormat="1" x14ac:dyDescent="0.2">
      <c r="M380" s="122"/>
      <c r="O380" s="122"/>
      <c r="P380" s="122"/>
    </row>
    <row r="381" spans="2:50" s="121" customFormat="1" x14ac:dyDescent="0.2">
      <c r="M381" s="122"/>
      <c r="O381" s="122"/>
      <c r="P381" s="122"/>
    </row>
    <row r="382" spans="2:50" s="121" customFormat="1" x14ac:dyDescent="0.2">
      <c r="M382" s="122"/>
      <c r="O382" s="122"/>
      <c r="P382" s="122"/>
    </row>
    <row r="383" spans="2:50" s="121" customFormat="1" x14ac:dyDescent="0.2">
      <c r="M383" s="122"/>
      <c r="O383" s="122"/>
      <c r="P383" s="122"/>
    </row>
    <row r="384" spans="2:50" s="121" customFormat="1" x14ac:dyDescent="0.2">
      <c r="M384" s="122"/>
      <c r="O384" s="122"/>
      <c r="P384" s="122"/>
    </row>
    <row r="385" spans="13:16" s="121" customFormat="1" x14ac:dyDescent="0.2">
      <c r="M385" s="122"/>
      <c r="O385" s="122"/>
      <c r="P385" s="122"/>
    </row>
    <row r="386" spans="13:16" s="121" customFormat="1" x14ac:dyDescent="0.2">
      <c r="M386" s="122"/>
      <c r="O386" s="122"/>
      <c r="P386" s="122"/>
    </row>
    <row r="387" spans="13:16" s="121" customFormat="1" x14ac:dyDescent="0.2">
      <c r="M387" s="122"/>
      <c r="O387" s="122"/>
      <c r="P387" s="122"/>
    </row>
    <row r="388" spans="13:16" s="121" customFormat="1" x14ac:dyDescent="0.2">
      <c r="M388" s="122"/>
      <c r="O388" s="122"/>
      <c r="P388" s="122"/>
    </row>
    <row r="389" spans="13:16" s="121" customFormat="1" x14ac:dyDescent="0.2">
      <c r="M389" s="122"/>
      <c r="O389" s="122"/>
      <c r="P389" s="122"/>
    </row>
    <row r="390" spans="13:16" s="121" customFormat="1" x14ac:dyDescent="0.2">
      <c r="M390" s="122"/>
      <c r="O390" s="122"/>
      <c r="P390" s="122"/>
    </row>
    <row r="391" spans="13:16" s="121" customFormat="1" x14ac:dyDescent="0.2">
      <c r="M391" s="122"/>
      <c r="O391" s="122"/>
      <c r="P391" s="122"/>
    </row>
    <row r="392" spans="13:16" s="121" customFormat="1" x14ac:dyDescent="0.2">
      <c r="M392" s="122"/>
      <c r="O392" s="122"/>
      <c r="P392" s="122"/>
    </row>
    <row r="393" spans="13:16" s="121" customFormat="1" x14ac:dyDescent="0.2">
      <c r="M393" s="122"/>
      <c r="O393" s="122"/>
      <c r="P393" s="122"/>
    </row>
    <row r="394" spans="13:16" s="121" customFormat="1" x14ac:dyDescent="0.2">
      <c r="M394" s="122"/>
      <c r="O394" s="122"/>
      <c r="P394" s="122"/>
    </row>
    <row r="395" spans="13:16" s="121" customFormat="1" x14ac:dyDescent="0.2">
      <c r="M395" s="122"/>
      <c r="O395" s="122"/>
      <c r="P395" s="122"/>
    </row>
    <row r="396" spans="13:16" s="121" customFormat="1" x14ac:dyDescent="0.2">
      <c r="M396" s="122"/>
      <c r="O396" s="122"/>
      <c r="P396" s="122"/>
    </row>
    <row r="397" spans="13:16" s="121" customFormat="1" x14ac:dyDescent="0.2">
      <c r="M397" s="122"/>
      <c r="O397" s="122"/>
      <c r="P397" s="122"/>
    </row>
    <row r="398" spans="13:16" s="121" customFormat="1" x14ac:dyDescent="0.2">
      <c r="M398" s="122"/>
      <c r="O398" s="122"/>
      <c r="P398" s="122"/>
    </row>
    <row r="399" spans="13:16" s="121" customFormat="1" x14ac:dyDescent="0.2">
      <c r="M399" s="122"/>
      <c r="O399" s="122"/>
      <c r="P399" s="122"/>
    </row>
    <row r="400" spans="13:16" s="121" customFormat="1" x14ac:dyDescent="0.2">
      <c r="M400" s="122"/>
      <c r="O400" s="122"/>
      <c r="P400" s="122"/>
    </row>
    <row r="401" spans="13:16" s="121" customFormat="1" x14ac:dyDescent="0.2">
      <c r="M401" s="122"/>
      <c r="O401" s="122"/>
      <c r="P401" s="122"/>
    </row>
    <row r="402" spans="13:16" s="121" customFormat="1" x14ac:dyDescent="0.2">
      <c r="M402" s="122"/>
      <c r="O402" s="122"/>
      <c r="P402" s="122"/>
    </row>
    <row r="403" spans="13:16" s="121" customFormat="1" x14ac:dyDescent="0.2">
      <c r="M403" s="122"/>
      <c r="O403" s="122"/>
      <c r="P403" s="122"/>
    </row>
    <row r="404" spans="13:16" s="121" customFormat="1" x14ac:dyDescent="0.2">
      <c r="M404" s="122"/>
      <c r="O404" s="122"/>
      <c r="P404" s="122"/>
    </row>
    <row r="405" spans="13:16" s="121" customFormat="1" x14ac:dyDescent="0.2">
      <c r="M405" s="122"/>
      <c r="O405" s="122"/>
      <c r="P405" s="122"/>
    </row>
    <row r="406" spans="13:16" s="121" customFormat="1" x14ac:dyDescent="0.2">
      <c r="M406" s="122"/>
      <c r="O406" s="122"/>
      <c r="P406" s="122"/>
    </row>
    <row r="407" spans="13:16" s="121" customFormat="1" x14ac:dyDescent="0.2">
      <c r="M407" s="122"/>
      <c r="O407" s="122"/>
      <c r="P407" s="122"/>
    </row>
    <row r="408" spans="13:16" s="121" customFormat="1" x14ac:dyDescent="0.2">
      <c r="M408" s="122"/>
      <c r="O408" s="122"/>
      <c r="P408" s="122"/>
    </row>
    <row r="409" spans="13:16" s="121" customFormat="1" x14ac:dyDescent="0.2">
      <c r="M409" s="122"/>
      <c r="O409" s="122"/>
      <c r="P409" s="122"/>
    </row>
    <row r="410" spans="13:16" s="121" customFormat="1" x14ac:dyDescent="0.2">
      <c r="M410" s="122"/>
      <c r="O410" s="122"/>
      <c r="P410" s="122"/>
    </row>
    <row r="411" spans="13:16" s="121" customFormat="1" x14ac:dyDescent="0.2">
      <c r="M411" s="122"/>
      <c r="O411" s="122"/>
      <c r="P411" s="122"/>
    </row>
    <row r="412" spans="13:16" s="121" customFormat="1" x14ac:dyDescent="0.2">
      <c r="M412" s="122"/>
      <c r="O412" s="122"/>
      <c r="P412" s="122"/>
    </row>
    <row r="413" spans="13:16" s="121" customFormat="1" x14ac:dyDescent="0.2">
      <c r="M413" s="122"/>
      <c r="O413" s="122"/>
      <c r="P413" s="122"/>
    </row>
    <row r="414" spans="13:16" s="121" customFormat="1" x14ac:dyDescent="0.2">
      <c r="M414" s="122"/>
      <c r="O414" s="122"/>
      <c r="P414" s="122"/>
    </row>
    <row r="415" spans="13:16" s="121" customFormat="1" x14ac:dyDescent="0.2">
      <c r="M415" s="122"/>
      <c r="O415" s="122"/>
      <c r="P415" s="122"/>
    </row>
    <row r="416" spans="13:16" s="121" customFormat="1" x14ac:dyDescent="0.2">
      <c r="M416" s="122"/>
      <c r="O416" s="122"/>
      <c r="P416" s="122"/>
    </row>
    <row r="417" spans="13:16" s="121" customFormat="1" x14ac:dyDescent="0.2">
      <c r="M417" s="122"/>
      <c r="O417" s="122"/>
      <c r="P417" s="122"/>
    </row>
    <row r="418" spans="13:16" s="121" customFormat="1" x14ac:dyDescent="0.2">
      <c r="M418" s="122"/>
      <c r="O418" s="122"/>
      <c r="P418" s="122"/>
    </row>
    <row r="419" spans="13:16" s="121" customFormat="1" x14ac:dyDescent="0.2">
      <c r="M419" s="122"/>
      <c r="O419" s="122"/>
      <c r="P419" s="122"/>
    </row>
    <row r="420" spans="13:16" s="121" customFormat="1" x14ac:dyDescent="0.2">
      <c r="M420" s="122"/>
      <c r="O420" s="122"/>
      <c r="P420" s="122"/>
    </row>
    <row r="421" spans="13:16" s="121" customFormat="1" x14ac:dyDescent="0.2">
      <c r="M421" s="122"/>
      <c r="O421" s="122"/>
      <c r="P421" s="122"/>
    </row>
    <row r="422" spans="13:16" s="121" customFormat="1" x14ac:dyDescent="0.2">
      <c r="M422" s="122"/>
      <c r="O422" s="122"/>
      <c r="P422" s="122"/>
    </row>
    <row r="423" spans="13:16" s="121" customFormat="1" x14ac:dyDescent="0.2">
      <c r="M423" s="122"/>
      <c r="O423" s="122"/>
      <c r="P423" s="122"/>
    </row>
    <row r="424" spans="13:16" s="121" customFormat="1" x14ac:dyDescent="0.2">
      <c r="M424" s="122"/>
      <c r="O424" s="122"/>
      <c r="P424" s="122"/>
    </row>
    <row r="425" spans="13:16" s="121" customFormat="1" x14ac:dyDescent="0.2">
      <c r="M425" s="122"/>
      <c r="O425" s="122"/>
      <c r="P425" s="122"/>
    </row>
    <row r="426" spans="13:16" s="121" customFormat="1" x14ac:dyDescent="0.2">
      <c r="M426" s="122"/>
      <c r="O426" s="122"/>
      <c r="P426" s="122"/>
    </row>
    <row r="427" spans="13:16" s="121" customFormat="1" x14ac:dyDescent="0.2">
      <c r="M427" s="122"/>
      <c r="O427" s="122"/>
      <c r="P427" s="122"/>
    </row>
    <row r="428" spans="13:16" s="121" customFormat="1" x14ac:dyDescent="0.2">
      <c r="M428" s="122"/>
      <c r="O428" s="122"/>
      <c r="P428" s="122"/>
    </row>
    <row r="429" spans="13:16" s="121" customFormat="1" x14ac:dyDescent="0.2">
      <c r="M429" s="122"/>
      <c r="O429" s="122"/>
      <c r="P429" s="122"/>
    </row>
    <row r="430" spans="13:16" s="121" customFormat="1" x14ac:dyDescent="0.2">
      <c r="M430" s="122"/>
      <c r="O430" s="122"/>
      <c r="P430" s="122"/>
    </row>
  </sheetData>
  <sheetProtection algorithmName="SHA-512" hashValue="955n4sbPmZNBL6II8KON51o+xIW+NppepcTwe+ycrDsCZoPPUfdV0V/Qc3fZMdYU9It/2LPlbdwVDXVgHVY/5g==" saltValue="2woLXNrCExndvmg/9wYFaw==" spinCount="100000" sheet="1" objects="1" scenarios="1"/>
  <mergeCells count="9">
    <mergeCell ref="C3:Y3"/>
    <mergeCell ref="T36:Y36"/>
    <mergeCell ref="W5:Y5"/>
    <mergeCell ref="T35:Y35"/>
    <mergeCell ref="T34:Y34"/>
    <mergeCell ref="F5:G5"/>
    <mergeCell ref="I5:J5"/>
    <mergeCell ref="L5:O5"/>
    <mergeCell ref="T5:U5"/>
  </mergeCells>
  <dataValidations count="1">
    <dataValidation type="list" allowBlank="1" showInputMessage="1" showErrorMessage="1" sqref="F256:F264 F40:F202 F204:F254 F266:F367 F369 F371:F372 F374:F376" xr:uid="{00000000-0002-0000-0400-000000000000}">
      <formula1>$J$41:$J$121</formula1>
    </dataValidation>
  </dataValidations>
  <hyperlinks>
    <hyperlink ref="T34" r:id="rId1" display="costs SE Facilities Costs Second Quarter 2016 " xr:uid="{00000000-0004-0000-0400-000000000000}"/>
    <hyperlink ref="T35" r:id="rId2" display="Lifecycle costs source: SE Life Cycle Costs Natural Turf Pitches and Artificial Surfaces April 2012" xr:uid="{00000000-0004-0000-0400-000001000000}"/>
  </hyperlinks>
  <pageMargins left="0.70866141732283472" right="0.70866141732283472" top="0.74803149606299213" bottom="0.74803149606299213" header="0.31496062992125984" footer="0.31496062992125984"/>
  <pageSetup paperSize="9" scale="50" fitToHeight="0" orientation="landscape" r:id="rId3"/>
  <rowBreaks count="5" manualBreakCount="5">
    <brk id="36" min="1" max="33" man="1"/>
    <brk id="115" min="1" max="33" man="1"/>
    <brk id="195" min="1" max="33" man="1"/>
    <brk id="275" min="1" max="33" man="1"/>
    <brk id="355" min="1"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271CBBA997309243945E842E281DC7A9000EAE5BC634416F4E90907FD2C0784863" ma:contentTypeVersion="4" ma:contentTypeDescription="New Excel Spreadsheet" ma:contentTypeScope="" ma:versionID="a7887453cec036893a54d71829371c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AFB6D-6EB9-4949-B8BB-630A479F12BF}">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B7D48AF-2449-4C7B-9EB4-DBB638DBD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C46F25-C13F-4A2B-8719-FB7E19950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Calculator</vt:lpstr>
      <vt:lpstr>PPS Data</vt:lpstr>
      <vt:lpstr>Workings Explained</vt:lpstr>
      <vt:lpstr>Workings</vt:lpstr>
      <vt:lpstr>Calculator!Print_Area</vt:lpstr>
      <vt:lpstr>Introduction!Print_Area</vt:lpstr>
      <vt:lpstr>'PPS Data'!Print_Area</vt:lpstr>
      <vt:lpstr>Workings!Print_Area</vt:lpstr>
      <vt:lpstr>'Workings Explained'!Print_Area</vt:lpstr>
    </vt:vector>
  </TitlesOfParts>
  <Company>Sport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Feetam</dc:creator>
  <cp:lastModifiedBy>carolyn.wilkinson</cp:lastModifiedBy>
  <cp:lastPrinted>2016-05-12T15:17:03Z</cp:lastPrinted>
  <dcterms:created xsi:type="dcterms:W3CDTF">2016-01-25T10:24:03Z</dcterms:created>
  <dcterms:modified xsi:type="dcterms:W3CDTF">2018-11-08T19:46:48Z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0x010100271CBBA997309243945E842E281DC7A9000EAE5BC634416F4E90907FD2C0784863</vt:lpwstr>
  </property>
</Properties>
</file>